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https://nuffic-my.sharepoint.com/personal/dgoossens_nuffic_nl/Documents/Documents/Notities/Tools/Grant Calculator/"/>
    </mc:Choice>
  </mc:AlternateContent>
  <xr:revisionPtr revIDLastSave="1985" documentId="11_F25DC773A252ABDACC10485FE91A636E5ADE58ED" xr6:coauthVersionLast="47" xr6:coauthVersionMax="47" xr10:uidLastSave="{50A8A237-30C1-4808-A555-D66163527140}"/>
  <bookViews>
    <workbookView xWindow="-10510" yWindow="-21710" windowWidth="38620" windowHeight="21100" xr2:uid="{00000000-000D-0000-FFFF-FFFF00000000}"/>
  </bookViews>
  <sheets>
    <sheet name="Individual Mobilities" sheetId="1" r:id="rId1"/>
    <sheet name="Group Mobilities" sheetId="3" r:id="rId2"/>
    <sheet name="Applicable Rates" sheetId="2" r:id="rId3"/>
  </sheets>
  <definedNames>
    <definedName name="International">#REF!</definedName>
    <definedName name="Program">#REF!</definedName>
    <definedName name="Regul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 l="1"/>
  <c r="Y6" i="3"/>
  <c r="X6" i="3"/>
  <c r="W6" i="3"/>
  <c r="V6" i="3"/>
  <c r="U6" i="3"/>
  <c r="U7" i="3" s="1"/>
  <c r="T6" i="3"/>
  <c r="T7" i="3" s="1"/>
  <c r="S6" i="3"/>
  <c r="S7" i="3" s="1"/>
  <c r="R6" i="3"/>
  <c r="R7" i="3" s="1"/>
  <c r="G19" i="3"/>
  <c r="D7" i="3"/>
  <c r="Q18" i="3"/>
  <c r="Q20" i="3" s="1"/>
  <c r="Q10" i="3"/>
  <c r="R10" i="3" s="1"/>
  <c r="Q16" i="3"/>
  <c r="R16" i="3" s="1"/>
  <c r="R17" i="3" s="1"/>
  <c r="Q18" i="1"/>
  <c r="Q20" i="1" s="1"/>
  <c r="U16" i="1"/>
  <c r="Q16" i="1"/>
  <c r="R16" i="1" s="1"/>
  <c r="R17" i="1" s="1"/>
  <c r="Q10" i="1"/>
  <c r="R10" i="1" s="1"/>
  <c r="Q4" i="1"/>
  <c r="S6" i="1" s="1"/>
  <c r="S7" i="1" s="1"/>
  <c r="H12" i="1"/>
  <c r="H7" i="1"/>
  <c r="AP10" i="1"/>
  <c r="Q19" i="1" l="1"/>
  <c r="U18" i="1"/>
  <c r="V6" i="1"/>
  <c r="S16" i="1"/>
  <c r="S17" i="1" s="1"/>
  <c r="S20" i="1" s="1"/>
  <c r="S10" i="1"/>
  <c r="H6" i="1" s="1"/>
  <c r="Q6" i="1"/>
  <c r="R6" i="1"/>
  <c r="R7" i="1" s="1"/>
  <c r="U8" i="1" s="1"/>
  <c r="W6" i="1"/>
  <c r="Y6" i="1"/>
  <c r="T6" i="1"/>
  <c r="T7" i="1" s="1"/>
  <c r="U6" i="1"/>
  <c r="U7" i="1" s="1"/>
  <c r="Q19" i="3"/>
  <c r="S16" i="3"/>
  <c r="S17" i="3" s="1"/>
  <c r="S20" i="3" s="1"/>
  <c r="S10" i="3"/>
  <c r="G14" i="3" s="1"/>
  <c r="G15" i="3" s="1"/>
  <c r="G20" i="3"/>
  <c r="R20" i="3"/>
  <c r="Q6" i="3"/>
  <c r="R20" i="1"/>
  <c r="R19" i="1"/>
  <c r="X6" i="1"/>
  <c r="D5" i="1" l="1"/>
  <c r="S19" i="1"/>
  <c r="S18" i="1" s="1"/>
  <c r="R18" i="1"/>
  <c r="S19" i="3"/>
  <c r="S18" i="3" s="1"/>
  <c r="G9" i="3" s="1"/>
  <c r="G11" i="3" s="1"/>
  <c r="R19" i="3"/>
  <c r="R18" i="3" s="1"/>
  <c r="G5" i="3" s="1"/>
  <c r="H11" i="1"/>
  <c r="H13" i="1" s="1"/>
  <c r="G6" i="3" l="1"/>
  <c r="B15" i="3" l="1"/>
  <c r="H5" i="1"/>
  <c r="H8" i="1" l="1"/>
</calcChain>
</file>

<file path=xl/sharedStrings.xml><?xml version="1.0" encoding="utf-8"?>
<sst xmlns="http://schemas.openxmlformats.org/spreadsheetml/2006/main" count="199" uniqueCount="147">
  <si>
    <t>Travel</t>
  </si>
  <si>
    <t>Band 1</t>
  </si>
  <si>
    <t>Band 2</t>
  </si>
  <si>
    <t>Band 3</t>
  </si>
  <si>
    <t>Band 4</t>
  </si>
  <si>
    <t>Band 5</t>
  </si>
  <si>
    <t>Band 6</t>
  </si>
  <si>
    <t>Band 7</t>
  </si>
  <si>
    <t>MIN</t>
  </si>
  <si>
    <t>MAX</t>
  </si>
  <si>
    <t>Green</t>
  </si>
  <si>
    <t>Non-green</t>
  </si>
  <si>
    <t>Base Rate</t>
  </si>
  <si>
    <t>Group 1</t>
  </si>
  <si>
    <t>Group 2</t>
  </si>
  <si>
    <t>Group 3</t>
  </si>
  <si>
    <t>Learner</t>
  </si>
  <si>
    <t>Staff</t>
  </si>
  <si>
    <t>na 15e dag 70%</t>
  </si>
  <si>
    <t>Invited Experts</t>
  </si>
  <si>
    <t>Course Fees</t>
  </si>
  <si>
    <t>Per Participant per day</t>
  </si>
  <si>
    <t>Inclusion Support</t>
  </si>
  <si>
    <t>Per participant with Fewer Opportunities</t>
  </si>
  <si>
    <t>Preparatory Visits</t>
  </si>
  <si>
    <t>Per participant</t>
  </si>
  <si>
    <t>Linguistic Support</t>
  </si>
  <si>
    <t>Type mobiliteit</t>
  </si>
  <si>
    <t>SCHEMA</t>
  </si>
  <si>
    <t>Dagen MIN</t>
  </si>
  <si>
    <t>Dagen MAX</t>
  </si>
  <si>
    <t>Org support 1st 100</t>
  </si>
  <si>
    <t>Org support 100+</t>
  </si>
  <si>
    <t>Category</t>
  </si>
  <si>
    <t>Participation in VET skills competitions</t>
  </si>
  <si>
    <t>Short-term learning mobility of VET learners</t>
  </si>
  <si>
    <t>Long-term learning mobility of VET learners (ErasmusPro)</t>
  </si>
  <si>
    <t>Dagen MIN FO</t>
  </si>
  <si>
    <t>Group mobility of VET learners</t>
  </si>
  <si>
    <t>Learner mobility</t>
  </si>
  <si>
    <t>Staff mobility</t>
  </si>
  <si>
    <t>Job shadowing</t>
  </si>
  <si>
    <t>Teaching or training assignments</t>
  </si>
  <si>
    <t>Courses and training</t>
  </si>
  <si>
    <t>Org support 3rd</t>
  </si>
  <si>
    <t>Hosting teachers and educators in training</t>
  </si>
  <si>
    <t>Other</t>
  </si>
  <si>
    <t>Travel Type</t>
  </si>
  <si>
    <t>Fewer Opportunities</t>
  </si>
  <si>
    <t>Accompanying Person</t>
  </si>
  <si>
    <t>Preparatory visit</t>
  </si>
  <si>
    <t>Special</t>
  </si>
  <si>
    <t>Dagen MIN AP</t>
  </si>
  <si>
    <t>Green travel</t>
  </si>
  <si>
    <t>Non-green travel</t>
  </si>
  <si>
    <t>Individual Support</t>
  </si>
  <si>
    <t>Travel Support</t>
  </si>
  <si>
    <t>Organisational Support</t>
  </si>
  <si>
    <t>100+ DIFF</t>
  </si>
  <si>
    <t>Country Group</t>
  </si>
  <si>
    <t>Band 1 (0 - 99 km)</t>
  </si>
  <si>
    <t>Band 2 (100 - 499 km)</t>
  </si>
  <si>
    <t>Band 3 (500 - 1.999 km)</t>
  </si>
  <si>
    <t>Band 4 (2.000 - 2.999 km)</t>
  </si>
  <si>
    <t>Band 5 (3.000 - 3.999 km)</t>
  </si>
  <si>
    <t>Band 6 (4.000 - 7.999 km)</t>
  </si>
  <si>
    <t>Band 7 (8.000+ km)</t>
  </si>
  <si>
    <t>Travel Distance band</t>
  </si>
  <si>
    <t>ANNEX 3 – APPLICABLE RATES</t>
  </si>
  <si>
    <t>1. Travel</t>
  </si>
  <si>
    <t>Travel distances</t>
  </si>
  <si>
    <t>Green travel Amount per participant</t>
  </si>
  <si>
    <t>Non-green travel Amount per participant</t>
  </si>
  <si>
    <t>10 – 99 km</t>
  </si>
  <si>
    <t>100 – 499 km</t>
  </si>
  <si>
    <t>500 – 1999 km</t>
  </si>
  <si>
    <t>2000 – 2999 km</t>
  </si>
  <si>
    <t>3000 – 3999 km</t>
  </si>
  <si>
    <t>4000 – 7999 km</t>
  </si>
  <si>
    <t>8000 km or more</t>
  </si>
  <si>
    <t>2. Individual support</t>
  </si>
  <si>
    <t>Receiving country</t>
  </si>
  <si>
    <t>Learners Base rate per day</t>
  </si>
  <si>
    <t>Staff
Base rate per day</t>
  </si>
  <si>
    <t>3. Organisational support</t>
  </si>
  <si>
    <t>Activity types</t>
  </si>
  <si>
    <t>Amount per participant</t>
  </si>
  <si>
    <t>350 EUR;
200 EUR after one hundred participants in the same type of activity</t>
  </si>
  <si>
    <t>Accompanying  persons  are  not  participants  in  learning  mobility  activities  and  are  not  counted  for calculation of Organisational support.</t>
  </si>
  <si>
    <t>The  same  rates  and  rules  apply  for  mobility  activities  with  third  countries  not  associated  to  the Programme. Those countries are sorted into country groups as follows:</t>
  </si>
  <si>
    <t>4. Course fees</t>
  </si>
  <si>
    <t>-       Group mobility of VET learners
-       Participation in VET skills competitions
-       Courses and training
-       Invited experts
-       Hosting teachers and educators in training</t>
  </si>
  <si>
    <t>-       Short-term learning mobility of VET learners
-       Job-shadowing
-       Teaching or training assignments</t>
  </si>
  <si>
    <t>-       Long-term learning mobility of VET learners (ErasmusPro)
-       Any activity taking place in a third country not associated to the Programme</t>
  </si>
  <si>
    <r>
      <t xml:space="preserve">Country group 2:
</t>
    </r>
    <r>
      <rPr>
        <sz val="10"/>
        <color indexed="8"/>
        <rFont val="Calibri"/>
        <family val="2"/>
        <scheme val="minor"/>
      </rPr>
      <t>Cyprus, Czechia, Estonia, Greece, Latvia, Malta, Portugal, Slovakia, Slovenia, Spain</t>
    </r>
  </si>
  <si>
    <t>The base rate is payable up to the 14th  day of activity. From the 15th  day of activity, the payable rate will be equal to 70% of the base rate. Payable rates will be rounded to the nearest whole Euro. Staff rates apply for accompanying persons.</t>
  </si>
  <si>
    <t>5. Inclusion support for organisations</t>
  </si>
  <si>
    <t>6. Preparatory visits</t>
  </si>
  <si>
    <t>7. Linguistic support</t>
  </si>
  <si>
    <r>
      <rPr>
        <b/>
        <sz val="10"/>
        <color theme="1"/>
        <rFont val="Calibri"/>
        <family val="2"/>
        <scheme val="minor"/>
      </rPr>
      <t>80 EUR</t>
    </r>
    <r>
      <rPr>
        <sz val="10"/>
        <color theme="1"/>
        <rFont val="Calibri"/>
        <family val="2"/>
        <scheme val="minor"/>
      </rPr>
      <t xml:space="preserve"> per day per participant per day; an individual staff member can receive a maximum of </t>
    </r>
    <r>
      <rPr>
        <b/>
        <sz val="10"/>
        <color theme="1"/>
        <rFont val="Calibri"/>
        <family val="2"/>
        <scheme val="minor"/>
      </rPr>
      <t>800 EUR</t>
    </r>
    <r>
      <rPr>
        <sz val="10"/>
        <color theme="1"/>
        <rFont val="Calibri"/>
        <family val="2"/>
        <scheme val="minor"/>
      </rPr>
      <t xml:space="preserve"> in course fees.</t>
    </r>
  </si>
  <si>
    <r>
      <rPr>
        <b/>
        <sz val="10"/>
        <color theme="1"/>
        <rFont val="Calibri"/>
        <family val="2"/>
        <scheme val="minor"/>
      </rPr>
      <t>125 EUR</t>
    </r>
    <r>
      <rPr>
        <sz val="10"/>
        <color theme="1"/>
        <rFont val="Calibri"/>
        <family val="2"/>
        <scheme val="minor"/>
      </rPr>
      <t xml:space="preserve"> per participant for costs related to the organisation of mobility activities for participants with fewer opportunities.</t>
    </r>
  </si>
  <si>
    <r>
      <rPr>
        <b/>
        <sz val="10"/>
        <color theme="1"/>
        <rFont val="Calibri"/>
        <family val="2"/>
        <scheme val="minor"/>
      </rPr>
      <t>680 EUR</t>
    </r>
    <r>
      <rPr>
        <sz val="10"/>
        <color theme="1"/>
        <rFont val="Calibri"/>
        <family val="2"/>
        <scheme val="minor"/>
      </rPr>
      <t xml:space="preserve"> per participant</t>
    </r>
  </si>
  <si>
    <r>
      <rPr>
        <b/>
        <sz val="10"/>
        <color theme="1"/>
        <rFont val="Calibri"/>
        <family val="2"/>
        <scheme val="minor"/>
      </rPr>
      <t>150 EUR</t>
    </r>
    <r>
      <rPr>
        <sz val="10"/>
        <color theme="1"/>
        <rFont val="Calibri"/>
        <family val="2"/>
        <scheme val="minor"/>
      </rPr>
      <t xml:space="preserve"> per participant in job shadowing, teaching and training assignments, short-term learning mobility of VET learners and long-term learning mobility of VET learners (ErasmusPro) if the participant cannot receive Online Language Support due to unavailability of the required language or level, or due to particular barriers faced by participants with fewer opportunities.</t>
    </r>
  </si>
  <si>
    <r>
      <t xml:space="preserve">In addition: </t>
    </r>
    <r>
      <rPr>
        <b/>
        <sz val="10"/>
        <color theme="1"/>
        <rFont val="Calibri"/>
        <family val="2"/>
        <scheme val="minor"/>
      </rPr>
      <t>150 EUR</t>
    </r>
    <r>
      <rPr>
        <sz val="10"/>
        <color theme="1"/>
        <rFont val="Calibri"/>
        <family val="2"/>
        <scheme val="minor"/>
      </rPr>
      <t xml:space="preserve"> per participant in long-term learning mobility of VET learners (ErasmusPro).</t>
    </r>
  </si>
  <si>
    <t>RODE CELLEN VERBERGEN</t>
  </si>
  <si>
    <t>Total</t>
  </si>
  <si>
    <t>Yes</t>
  </si>
  <si>
    <t>No</t>
  </si>
  <si>
    <t>International Mobility</t>
  </si>
  <si>
    <t>Input</t>
  </si>
  <si>
    <t>Output</t>
  </si>
  <si>
    <t>Participant</t>
  </si>
  <si>
    <t>Organisation</t>
  </si>
  <si>
    <t>Mobility Type</t>
  </si>
  <si>
    <t>No. of Days</t>
  </si>
  <si>
    <t>Does this activity type have more than 100 participants?</t>
  </si>
  <si>
    <t>APPLICABLE RATES VERGRENDELEN: WW: LKEUCjmermds83j#jhdshju21</t>
  </si>
  <si>
    <r>
      <rPr>
        <b/>
        <sz val="11"/>
        <rFont val="Calibri"/>
        <family val="2"/>
        <scheme val="minor"/>
      </rPr>
      <t>LET OP!</t>
    </r>
    <r>
      <rPr>
        <sz val="11"/>
        <rFont val="Calibri"/>
        <family val="2"/>
        <scheme val="minor"/>
      </rPr>
      <t xml:space="preserve"> De Grant Calculator is slechts een hulpmiddel. Er kunnen geen rechten worden ontleend uit deze berekeningen. Bij afwijkingen zijn de berekeningen gedaan in de Beneficiary Module leidend. De Grant Calculator kan mogelijk tikfouten bevatten.</t>
    </r>
  </si>
  <si>
    <r>
      <t xml:space="preserve">PLEASE NOTE! </t>
    </r>
    <r>
      <rPr>
        <sz val="11"/>
        <color theme="1"/>
        <rFont val="Verdana"/>
        <family val="2"/>
      </rPr>
      <t>The Grant Calculator is only a tool. No rights can be derived from these calculations. In case of deviations, the calculations done in the Beneficiary Module are leading. The Grant Calculator may contain typographical errors.</t>
    </r>
  </si>
  <si>
    <t>Inclusion Support for Organisations</t>
  </si>
  <si>
    <t>Flextable 2</t>
  </si>
  <si>
    <t>Flextable 1</t>
  </si>
  <si>
    <t>*Max 3 per visit</t>
  </si>
  <si>
    <t>Max days</t>
  </si>
  <si>
    <t>Dagen vol tarief:</t>
  </si>
  <si>
    <t>RODE CELLEN VERBERGEN!</t>
  </si>
  <si>
    <t>No. of Participants</t>
  </si>
  <si>
    <t>No. of Accompanying Persons</t>
  </si>
  <si>
    <t>Travel Distance Band</t>
  </si>
  <si>
    <t>Participants</t>
  </si>
  <si>
    <t>Accompanying Persons</t>
  </si>
  <si>
    <t>Participants with Fewer Opportunities</t>
  </si>
  <si>
    <t>INDIVIDUAL MOBILITIES VERGRENDELEN: WW: Huslemfhyxhne!j47</t>
  </si>
  <si>
    <t>Individual Support per Participant</t>
  </si>
  <si>
    <t>Individual Support per Accompanying Person</t>
  </si>
  <si>
    <t>Travel Grant</t>
  </si>
  <si>
    <t>Travel Grant per Participant</t>
  </si>
  <si>
    <t>Total Group Grant</t>
  </si>
  <si>
    <t>GROUP MOBILITIES VERGRENDELEN WW: &amp;Hj4k8$kjm6sj2m5!!n5j</t>
  </si>
  <si>
    <t>Group Mobility</t>
  </si>
  <si>
    <t>Participants for Organisational Support</t>
  </si>
  <si>
    <r>
      <t xml:space="preserve">Country group 1:
</t>
    </r>
    <r>
      <rPr>
        <sz val="10"/>
        <color indexed="8"/>
        <rFont val="Calibri"/>
        <family val="2"/>
        <scheme val="minor"/>
      </rPr>
      <t>Austria, Belgium, Denmark, Finland, France, Germany, Iceland, Ireland, Italy, Liechtenstein, Luxembourg, Netherlands, Norway, Sweden</t>
    </r>
  </si>
  <si>
    <r>
      <t xml:space="preserve">Country group 3:
</t>
    </r>
    <r>
      <rPr>
        <sz val="10"/>
        <color indexed="8"/>
        <rFont val="Calibri"/>
        <family val="2"/>
        <scheme val="minor"/>
      </rPr>
      <t>Bulgaria, Croatia, Hungary, Lithuania, North Macedonia, Poland, Romania, Serbia, Türkiye</t>
    </r>
  </si>
  <si>
    <r>
      <t xml:space="preserve">Country group 1: </t>
    </r>
    <r>
      <rPr>
        <sz val="10"/>
        <color rgb="FF000000"/>
        <rFont val="Calibri"/>
        <family val="2"/>
        <scheme val="minor"/>
      </rPr>
      <t>Andorra, Angola, Argentina, Armenia, Australia, Azerbaijan, Bahrain, Canada, Faroe Islands, Georgia, Hong Kong, Israel, Japan, Kuwait, Lebanon, Malaysia, Mexico, Moldova, Monaco, Republic of Korea, Saint Kitts and Nevis, San Marino, Saudi Arabia, Singapore, St. Vincent and Grenadines, Sudan, Switzerland, Taiwan, Tanzania, Thailand, United Arab Emirates, United Kingdom, United States, Vatican City State, Vietnam</t>
    </r>
  </si>
  <si>
    <r>
      <t xml:space="preserve">Country group 3: </t>
    </r>
    <r>
      <rPr>
        <sz val="10"/>
        <color rgb="FF000000"/>
        <rFont val="Calibri"/>
        <family val="2"/>
        <scheme val="minor"/>
      </rPr>
      <t>Afghanistan, Algeria, Belize, Benin, Bhutan, Bolivia, Botswana, Burkina Faso, Burundi, Cabo Verde, Cambodia, Cameroon, Central African Republic, Colombia, Comoros, Congo, Cook Islands, El Salvador, Equatorial Guinea, Eritrea, Eswatini, Fiji, Gambia, Guatemala, Guinea, Guinea-Bissau, Honduras, Iraq, Kosovo, Lesotho, Macao, Madagascar, Maldives, Mali, Marshall Islands, Mauritania, Mongolia, Myanmar, Namibia, Nauru, Nepal, New Zealand, Nicaragua, Niger, Niue, Pakistan, Palau, Samoa, Sao Tome and Principe, Solomon Islands, Somalia, South Sudan, Sri Lanka, Suriname, Tajikistan, Timor- Leste, Togo, Tonga, Trinidad and Tobago, Tunisia, Tuvalu, Vanuatu, Zambia, Zimbabwe</t>
    </r>
  </si>
  <si>
    <r>
      <t xml:space="preserve">Country group 2: </t>
    </r>
    <r>
      <rPr>
        <sz val="10"/>
        <color rgb="FF000000"/>
        <rFont val="Calibri"/>
        <family val="2"/>
        <scheme val="minor"/>
      </rPr>
      <t>Albania, Antigua and Barbuda, Bahamas, Bangladesh, Barbados, Belarus, Bosnia and Herzegovina, Brazil, Brunei, Chad, Chile, China, Costa Rica, Côte d'Ivoire, Cuba, Djibouti, Dominica, Dominican Republic, DPR Korea, DR Congo, Ecuador, Egypt, Ethiopia, Gabon, Ghana, Grenada, Guyana, Haïti, India, Indonesia, Iran, Jamaica, Jordan, Kazakhstan, Kenya, Kiribati, Kyrgyzstan, Laos, Liberia, Libya, Malawi, Mauritius, Micronesia, Montenegro, Morocco, Mozambique, Nigeria, Oman, Palestine, Panama, Papua New Guinea, Paraguay, Peru, Philippines, Qatar, Russia, Rwanda, Saint Lucia, Senegal, Seychelles, Sierra Leone, South Africa, Syria, Turkmenistan, Uganda, Ukraine, Uruguay, Uzbekistan, Venezuela, Yemen</t>
    </r>
  </si>
  <si>
    <t>Use for: 2024-1-NL01-KA121-VET and 2024-1-NL01-KA122-VET; v.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</si>
</sst>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 [$EUR]"/>
  </numFmts>
  <fonts count="17" x14ac:knownFonts="1">
    <font>
      <sz val="11"/>
      <color theme="1"/>
      <name val="Calibri"/>
      <family val="2"/>
      <scheme val="minor"/>
    </font>
    <font>
      <b/>
      <sz val="11"/>
      <color theme="1"/>
      <name val="Calibri"/>
      <family val="2"/>
      <scheme val="minor"/>
    </font>
    <font>
      <sz val="9"/>
      <color theme="1"/>
      <name val="Verdana"/>
      <family val="2"/>
    </font>
    <font>
      <b/>
      <sz val="9"/>
      <color theme="1"/>
      <name val="Verdana"/>
      <family val="2"/>
    </font>
    <font>
      <sz val="10"/>
      <name val="Calibri"/>
      <family val="2"/>
      <scheme val="minor"/>
    </font>
    <font>
      <b/>
      <u/>
      <sz val="10"/>
      <color indexed="8"/>
      <name val="Calibri"/>
      <family val="2"/>
      <scheme val="minor"/>
    </font>
    <font>
      <sz val="10"/>
      <color theme="1"/>
      <name val="Calibri"/>
      <family val="2"/>
      <scheme val="minor"/>
    </font>
    <font>
      <b/>
      <sz val="10"/>
      <color indexed="8"/>
      <name val="Calibri"/>
      <family val="2"/>
      <scheme val="minor"/>
    </font>
    <font>
      <sz val="10"/>
      <color indexed="8"/>
      <name val="Calibri"/>
      <family val="2"/>
      <scheme val="minor"/>
    </font>
    <font>
      <sz val="10"/>
      <color rgb="FF000000"/>
      <name val="Calibri"/>
      <family val="2"/>
      <scheme val="minor"/>
    </font>
    <font>
      <b/>
      <sz val="10"/>
      <color theme="1"/>
      <name val="Calibri"/>
      <family val="2"/>
      <scheme val="minor"/>
    </font>
    <font>
      <sz val="11"/>
      <name val="Calibri"/>
      <family val="2"/>
      <scheme val="minor"/>
    </font>
    <font>
      <b/>
      <sz val="11"/>
      <name val="Calibri"/>
      <family val="2"/>
      <scheme val="minor"/>
    </font>
    <font>
      <b/>
      <sz val="11"/>
      <color theme="1"/>
      <name val="Verdana"/>
      <family val="2"/>
    </font>
    <font>
      <sz val="11"/>
      <color theme="1"/>
      <name val="Verdana"/>
      <family val="2"/>
    </font>
    <font>
      <i/>
      <sz val="8"/>
      <color theme="1"/>
      <name val="Verdana"/>
      <family val="2"/>
    </font>
    <font>
      <b/>
      <sz val="16"/>
      <color theme="1"/>
      <name val="Verdana"/>
      <family val="2"/>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99CC"/>
        <bgColor indexed="64"/>
      </patternFill>
    </fill>
    <fill>
      <patternFill patternType="solid">
        <fgColor rgb="FFE4E4E4"/>
        <bgColor indexed="64"/>
      </patternFill>
    </fill>
    <fill>
      <patternFill patternType="solid">
        <fgColor rgb="FFE7E6E6"/>
        <bgColor indexed="64"/>
      </patternFill>
    </fill>
    <fill>
      <patternFill patternType="solid">
        <fgColor rgb="FFFF0000"/>
        <bgColor indexed="64"/>
      </patternFill>
    </fill>
    <fill>
      <patternFill patternType="solid">
        <fgColor theme="4" tint="0.39997558519241921"/>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99">
    <xf numFmtId="0" fontId="0" fillId="0" borderId="0" xfId="0"/>
    <xf numFmtId="0" fontId="0" fillId="0" borderId="0" xfId="0" applyProtection="1">
      <protection hidden="1"/>
    </xf>
    <xf numFmtId="0" fontId="2" fillId="2" borderId="0" xfId="0" applyFont="1" applyFill="1"/>
    <xf numFmtId="0" fontId="7" fillId="8" borderId="1" xfId="0" applyFont="1" applyFill="1" applyBorder="1" applyAlignment="1">
      <alignment horizontal="center" vertical="top" wrapText="1"/>
    </xf>
    <xf numFmtId="0" fontId="8" fillId="0" borderId="1" xfId="0" applyFont="1" applyBorder="1" applyAlignment="1">
      <alignment horizontal="center" vertical="top" wrapText="1"/>
    </xf>
    <xf numFmtId="164" fontId="8" fillId="0" borderId="3" xfId="0" applyNumberFormat="1" applyFont="1" applyBorder="1" applyAlignment="1">
      <alignment horizontal="center" vertical="top" shrinkToFit="1"/>
    </xf>
    <xf numFmtId="0" fontId="7" fillId="9" borderId="1" xfId="0" applyFont="1" applyFill="1" applyBorder="1" applyAlignment="1">
      <alignment horizontal="center" vertical="top" wrapText="1"/>
    </xf>
    <xf numFmtId="0" fontId="7" fillId="9" borderId="3" xfId="0" applyFont="1" applyFill="1" applyBorder="1" applyAlignment="1">
      <alignment horizontal="center" vertical="top" wrapText="1"/>
    </xf>
    <xf numFmtId="164" fontId="8" fillId="0" borderId="1" xfId="0" applyNumberFormat="1" applyFont="1" applyBorder="1" applyAlignment="1">
      <alignment horizontal="center" vertical="top" shrinkToFit="1"/>
    </xf>
    <xf numFmtId="0" fontId="8" fillId="0" borderId="3" xfId="0" applyFont="1" applyBorder="1" applyAlignment="1">
      <alignment horizontal="center" vertical="top" wrapText="1"/>
    </xf>
    <xf numFmtId="0" fontId="11" fillId="10" borderId="0" xfId="0" applyFont="1" applyFill="1" applyProtection="1">
      <protection hidden="1"/>
    </xf>
    <xf numFmtId="0" fontId="0" fillId="10" borderId="0" xfId="0" applyFill="1" applyProtection="1">
      <protection hidden="1"/>
    </xf>
    <xf numFmtId="44" fontId="0" fillId="10" borderId="0" xfId="0" applyNumberFormat="1" applyFill="1" applyProtection="1">
      <protection hidden="1"/>
    </xf>
    <xf numFmtId="0" fontId="1" fillId="10" borderId="0" xfId="0" applyFont="1" applyFill="1" applyProtection="1">
      <protection hidden="1"/>
    </xf>
    <xf numFmtId="0" fontId="3" fillId="2" borderId="0" xfId="0" applyFont="1" applyFill="1" applyAlignment="1">
      <alignment horizontal="center" vertical="center"/>
    </xf>
    <xf numFmtId="0" fontId="14" fillId="2" borderId="0" xfId="0" applyFont="1" applyFill="1" applyProtection="1">
      <protection hidden="1"/>
    </xf>
    <xf numFmtId="44" fontId="14" fillId="2" borderId="0" xfId="0" applyNumberFormat="1" applyFont="1" applyFill="1" applyProtection="1">
      <protection hidden="1"/>
    </xf>
    <xf numFmtId="0" fontId="14" fillId="5" borderId="0" xfId="0" applyFont="1" applyFill="1" applyProtection="1">
      <protection hidden="1"/>
    </xf>
    <xf numFmtId="44" fontId="13" fillId="4" borderId="0" xfId="0" applyNumberFormat="1" applyFont="1" applyFill="1" applyProtection="1">
      <protection hidden="1"/>
    </xf>
    <xf numFmtId="0" fontId="14" fillId="0" borderId="0" xfId="0" applyFont="1" applyProtection="1">
      <protection hidden="1"/>
    </xf>
    <xf numFmtId="0" fontId="14" fillId="6" borderId="0" xfId="0" applyFont="1" applyFill="1" applyProtection="1">
      <protection hidden="1"/>
    </xf>
    <xf numFmtId="44" fontId="13" fillId="11" borderId="0" xfId="0" applyNumberFormat="1" applyFont="1" applyFill="1" applyProtection="1">
      <protection hidden="1"/>
    </xf>
    <xf numFmtId="0" fontId="14" fillId="7" borderId="0" xfId="0" applyFont="1" applyFill="1" applyAlignment="1" applyProtection="1">
      <alignment vertical="center"/>
      <protection hidden="1"/>
    </xf>
    <xf numFmtId="0" fontId="14" fillId="0" borderId="8" xfId="0" applyFont="1" applyBorder="1" applyAlignment="1" applyProtection="1">
      <alignment horizontal="right" vertical="center" wrapText="1"/>
      <protection locked="0" hidden="1"/>
    </xf>
    <xf numFmtId="0" fontId="14" fillId="7" borderId="0" xfId="0" applyFont="1" applyFill="1" applyProtection="1">
      <protection hidden="1"/>
    </xf>
    <xf numFmtId="0" fontId="14" fillId="0" borderId="8" xfId="0" applyFont="1" applyBorder="1" applyAlignment="1" applyProtection="1">
      <alignment horizontal="right"/>
      <protection locked="0" hidden="1"/>
    </xf>
    <xf numFmtId="3" fontId="14" fillId="0" borderId="8" xfId="0" applyNumberFormat="1" applyFont="1" applyBorder="1" applyAlignment="1" applyProtection="1">
      <alignment horizontal="right"/>
      <protection locked="0" hidden="1"/>
    </xf>
    <xf numFmtId="0" fontId="14" fillId="7" borderId="0" xfId="0" applyFont="1" applyFill="1" applyAlignment="1" applyProtection="1">
      <alignment vertical="center" wrapText="1"/>
      <protection hidden="1"/>
    </xf>
    <xf numFmtId="0" fontId="14" fillId="0" borderId="8" xfId="0" applyFont="1" applyBorder="1" applyAlignment="1" applyProtection="1">
      <alignment horizontal="right" vertical="center"/>
      <protection locked="0" hidden="1"/>
    </xf>
    <xf numFmtId="0" fontId="0" fillId="3" borderId="9" xfId="0" applyFill="1" applyBorder="1"/>
    <xf numFmtId="0" fontId="0" fillId="3" borderId="10" xfId="0" applyFill="1" applyBorder="1"/>
    <xf numFmtId="0" fontId="0" fillId="3" borderId="11" xfId="0" applyFill="1" applyBorder="1"/>
    <xf numFmtId="0" fontId="0" fillId="3" borderId="0" xfId="0" applyFill="1"/>
    <xf numFmtId="44" fontId="0" fillId="3" borderId="0" xfId="0" applyNumberFormat="1" applyFill="1"/>
    <xf numFmtId="3" fontId="0" fillId="3" borderId="0" xfId="0" applyNumberFormat="1" applyFill="1"/>
    <xf numFmtId="0" fontId="0" fillId="3" borderId="12" xfId="0" applyFill="1" applyBorder="1"/>
    <xf numFmtId="0" fontId="0" fillId="3" borderId="13" xfId="0" applyFill="1" applyBorder="1"/>
    <xf numFmtId="0" fontId="11" fillId="3" borderId="0" xfId="0" applyFont="1" applyFill="1" applyProtection="1">
      <protection hidden="1"/>
    </xf>
    <xf numFmtId="3" fontId="11" fillId="3" borderId="0" xfId="0" applyNumberFormat="1" applyFont="1" applyFill="1" applyProtection="1">
      <protection hidden="1"/>
    </xf>
    <xf numFmtId="44" fontId="11" fillId="3" borderId="0" xfId="0" applyNumberFormat="1" applyFont="1" applyFill="1" applyProtection="1">
      <protection hidden="1"/>
    </xf>
    <xf numFmtId="9" fontId="11" fillId="3" borderId="0" xfId="0" applyNumberFormat="1" applyFont="1" applyFill="1" applyProtection="1">
      <protection hidden="1"/>
    </xf>
    <xf numFmtId="1" fontId="11" fillId="3" borderId="0" xfId="0" applyNumberFormat="1" applyFont="1" applyFill="1" applyProtection="1">
      <protection hidden="1"/>
    </xf>
    <xf numFmtId="0" fontId="12" fillId="10" borderId="0" xfId="0" applyFont="1" applyFill="1" applyProtection="1">
      <protection hidden="1"/>
    </xf>
    <xf numFmtId="0" fontId="15" fillId="2" borderId="0" xfId="0" applyFont="1" applyFill="1" applyAlignment="1" applyProtection="1">
      <alignment horizontal="right"/>
      <protection hidden="1"/>
    </xf>
    <xf numFmtId="0" fontId="6" fillId="10" borderId="0" xfId="0" applyFont="1" applyFill="1"/>
    <xf numFmtId="0" fontId="5" fillId="10" borderId="0" xfId="0" applyFont="1" applyFill="1" applyAlignment="1">
      <alignment vertical="center" wrapText="1"/>
    </xf>
    <xf numFmtId="0" fontId="7" fillId="10" borderId="0" xfId="0" applyFont="1" applyFill="1" applyAlignment="1">
      <alignment vertical="top" wrapText="1"/>
    </xf>
    <xf numFmtId="0" fontId="4" fillId="10" borderId="0" xfId="0" applyFont="1" applyFill="1" applyAlignment="1">
      <alignment horizontal="left" vertical="top" wrapText="1"/>
    </xf>
    <xf numFmtId="0" fontId="4" fillId="10" borderId="0" xfId="0" applyFont="1" applyFill="1" applyAlignment="1">
      <alignment horizontal="left" vertical="center" wrapText="1"/>
    </xf>
    <xf numFmtId="0" fontId="8" fillId="10" borderId="0" xfId="0" applyFont="1" applyFill="1" applyAlignment="1">
      <alignment vertical="top"/>
    </xf>
    <xf numFmtId="0" fontId="10" fillId="10" borderId="0" xfId="0" applyFont="1" applyFill="1"/>
    <xf numFmtId="44" fontId="11" fillId="10" borderId="0" xfId="0" applyNumberFormat="1" applyFont="1" applyFill="1" applyProtection="1">
      <protection hidden="1"/>
    </xf>
    <xf numFmtId="0" fontId="13" fillId="10" borderId="0" xfId="0" applyFont="1" applyFill="1" applyAlignment="1" applyProtection="1">
      <alignment vertical="center" wrapText="1"/>
      <protection hidden="1"/>
    </xf>
    <xf numFmtId="0" fontId="13" fillId="10" borderId="0" xfId="0" applyFont="1" applyFill="1" applyAlignment="1" applyProtection="1">
      <alignment vertical="center"/>
      <protection hidden="1"/>
    </xf>
    <xf numFmtId="0" fontId="2" fillId="2" borderId="0" xfId="0" applyFont="1" applyFill="1" applyProtection="1">
      <protection hidden="1"/>
    </xf>
    <xf numFmtId="0" fontId="13" fillId="2" borderId="0" xfId="0" applyFont="1" applyFill="1" applyAlignment="1" applyProtection="1">
      <alignment vertical="center"/>
      <protection hidden="1"/>
    </xf>
    <xf numFmtId="0" fontId="14" fillId="0" borderId="8" xfId="0" applyFont="1" applyBorder="1" applyProtection="1">
      <protection locked="0" hidden="1"/>
    </xf>
    <xf numFmtId="0" fontId="0" fillId="3" borderId="0" xfId="0" applyFill="1" applyProtection="1">
      <protection hidden="1"/>
    </xf>
    <xf numFmtId="0" fontId="0" fillId="2" borderId="0" xfId="0" applyFill="1" applyProtection="1">
      <protection hidden="1"/>
    </xf>
    <xf numFmtId="0" fontId="15" fillId="10" borderId="0" xfId="0" applyFont="1" applyFill="1" applyProtection="1">
      <protection hidden="1"/>
    </xf>
    <xf numFmtId="0" fontId="13" fillId="6" borderId="0" xfId="0" applyFont="1" applyFill="1" applyProtection="1">
      <protection hidden="1"/>
    </xf>
    <xf numFmtId="0" fontId="13" fillId="5" borderId="0" xfId="0" applyFont="1" applyFill="1" applyProtection="1">
      <protection hidden="1"/>
    </xf>
    <xf numFmtId="0" fontId="14" fillId="0" borderId="0" xfId="0" applyFont="1" applyProtection="1">
      <protection locked="0"/>
    </xf>
    <xf numFmtId="0" fontId="11" fillId="10" borderId="0" xfId="0" applyFont="1" applyFill="1" applyAlignment="1" applyProtection="1">
      <alignment horizontal="center" vertical="center" wrapText="1"/>
      <protection hidden="1"/>
    </xf>
    <xf numFmtId="0" fontId="13" fillId="2" borderId="0" xfId="0" applyFont="1" applyFill="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3" fillId="3" borderId="0" xfId="0" applyFont="1" applyFill="1" applyAlignment="1" applyProtection="1">
      <alignment horizontal="center" vertical="center"/>
      <protection hidden="1"/>
    </xf>
    <xf numFmtId="0" fontId="15" fillId="2" borderId="0" xfId="0" applyFont="1" applyFill="1" applyAlignment="1" applyProtection="1">
      <alignment horizontal="right"/>
      <protection hidden="1"/>
    </xf>
    <xf numFmtId="0" fontId="13" fillId="3" borderId="0" xfId="0" applyFont="1" applyFill="1" applyAlignment="1">
      <alignment horizontal="center" vertical="center"/>
    </xf>
    <xf numFmtId="0" fontId="13" fillId="4" borderId="0" xfId="0" applyFont="1" applyFill="1" applyAlignment="1" applyProtection="1">
      <alignment horizontal="center"/>
      <protection hidden="1"/>
    </xf>
    <xf numFmtId="0" fontId="13" fillId="11" borderId="0" xfId="0" applyFont="1" applyFill="1" applyAlignment="1" applyProtection="1">
      <alignment horizontal="center"/>
      <protection hidden="1"/>
    </xf>
    <xf numFmtId="0" fontId="14" fillId="2" borderId="0" xfId="0" applyFont="1" applyFill="1" applyAlignment="1" applyProtection="1">
      <alignment horizontal="left"/>
      <protection hidden="1"/>
    </xf>
    <xf numFmtId="0" fontId="14" fillId="2" borderId="0" xfId="0" applyFont="1" applyFill="1" applyAlignment="1" applyProtection="1">
      <alignment horizontal="center"/>
      <protection hidden="1"/>
    </xf>
    <xf numFmtId="0" fontId="14" fillId="5" borderId="0" xfId="0" applyFont="1" applyFill="1" applyAlignment="1" applyProtection="1">
      <alignment horizontal="left" wrapText="1"/>
      <protection hidden="1"/>
    </xf>
    <xf numFmtId="44" fontId="14" fillId="2" borderId="0" xfId="0" applyNumberFormat="1" applyFont="1" applyFill="1" applyAlignment="1" applyProtection="1">
      <alignment horizontal="center"/>
      <protection hidden="1"/>
    </xf>
    <xf numFmtId="44" fontId="16" fillId="2" borderId="0" xfId="0" applyNumberFormat="1" applyFont="1" applyFill="1" applyAlignment="1" applyProtection="1">
      <alignment horizontal="center" vertical="center"/>
      <protection hidden="1"/>
    </xf>
    <xf numFmtId="0" fontId="6" fillId="0" borderId="0" xfId="0" applyFont="1" applyAlignment="1">
      <alignment wrapText="1"/>
    </xf>
    <xf numFmtId="0" fontId="10" fillId="0" borderId="0" xfId="0" applyFont="1" applyAlignment="1">
      <alignment horizontal="center"/>
    </xf>
    <xf numFmtId="0" fontId="6" fillId="0" borderId="0" xfId="0" applyFont="1"/>
    <xf numFmtId="0" fontId="8" fillId="0" borderId="4" xfId="0" applyFont="1" applyBorder="1" applyAlignment="1">
      <alignment vertical="top" wrapText="1"/>
    </xf>
    <xf numFmtId="0" fontId="8" fillId="0" borderId="0" xfId="0" applyFont="1" applyAlignment="1">
      <alignment horizontal="left" vertical="top" wrapText="1"/>
    </xf>
    <xf numFmtId="0" fontId="7" fillId="9" borderId="7" xfId="0" applyFont="1" applyFill="1" applyBorder="1" applyAlignment="1">
      <alignment horizontal="left" vertical="top" wrapText="1"/>
    </xf>
    <xf numFmtId="0" fontId="7" fillId="0" borderId="0" xfId="0" applyFont="1" applyAlignment="1">
      <alignment horizontal="center" vertical="top" wrapText="1"/>
    </xf>
    <xf numFmtId="0" fontId="7" fillId="9" borderId="7" xfId="0" applyFont="1" applyFill="1" applyBorder="1" applyAlignment="1">
      <alignment horizontal="center" vertical="top" wrapText="1"/>
    </xf>
    <xf numFmtId="0" fontId="8" fillId="9" borderId="7" xfId="0" applyFont="1" applyFill="1" applyBorder="1" applyAlignment="1">
      <alignment horizontal="center" vertical="top" wrapText="1"/>
    </xf>
    <xf numFmtId="0" fontId="8" fillId="0" borderId="0" xfId="0" applyFont="1" applyAlignment="1">
      <alignment vertical="top" wrapText="1"/>
    </xf>
    <xf numFmtId="0" fontId="7" fillId="9" borderId="2" xfId="0" applyFont="1" applyFill="1" applyBorder="1" applyAlignment="1">
      <alignment horizontal="center" vertical="top" wrapText="1"/>
    </xf>
    <xf numFmtId="0" fontId="7" fillId="9" borderId="3" xfId="0" applyFont="1" applyFill="1" applyBorder="1" applyAlignment="1">
      <alignment horizontal="center" vertical="top" wrapText="1"/>
    </xf>
    <xf numFmtId="164" fontId="8" fillId="0" borderId="2" xfId="0" applyNumberFormat="1" applyFont="1" applyBorder="1" applyAlignment="1">
      <alignment horizontal="center" vertical="top" shrinkToFit="1"/>
    </xf>
    <xf numFmtId="164" fontId="8" fillId="0" borderId="3" xfId="0" applyNumberFormat="1" applyFont="1" applyBorder="1" applyAlignment="1">
      <alignment horizontal="center" vertical="top" shrinkToFit="1"/>
    </xf>
    <xf numFmtId="0" fontId="7" fillId="9" borderId="2" xfId="0" applyFont="1" applyFill="1" applyBorder="1" applyAlignment="1">
      <alignment horizontal="left" vertical="top" wrapText="1" indent="9"/>
    </xf>
    <xf numFmtId="0" fontId="7" fillId="9" borderId="3" xfId="0" applyFont="1" applyFill="1" applyBorder="1" applyAlignment="1">
      <alignment horizontal="left" vertical="top" wrapText="1" indent="9"/>
    </xf>
    <xf numFmtId="0" fontId="7" fillId="9" borderId="2" xfId="0" applyFont="1" applyFill="1" applyBorder="1" applyAlignment="1">
      <alignment horizontal="left" vertical="top" wrapText="1" indent="2"/>
    </xf>
    <xf numFmtId="0" fontId="7" fillId="9" borderId="3" xfId="0" applyFont="1" applyFill="1" applyBorder="1" applyAlignment="1">
      <alignment horizontal="left" vertical="top" wrapText="1" indent="2"/>
    </xf>
    <xf numFmtId="0" fontId="7" fillId="0" borderId="6" xfId="0" applyFont="1" applyBorder="1" applyAlignment="1">
      <alignment horizontal="center" vertical="top" wrapText="1"/>
    </xf>
    <xf numFmtId="0" fontId="5" fillId="0" borderId="0" xfId="0" applyFont="1" applyAlignment="1">
      <alignment horizontal="center" vertical="center" wrapText="1"/>
    </xf>
    <xf numFmtId="0" fontId="7" fillId="8" borderId="2" xfId="0" applyFont="1" applyFill="1" applyBorder="1" applyAlignment="1">
      <alignment horizontal="left" vertical="top" wrapText="1" indent="3"/>
    </xf>
    <xf numFmtId="0" fontId="7" fillId="8" borderId="3" xfId="0" applyFont="1" applyFill="1" applyBorder="1" applyAlignment="1">
      <alignment horizontal="left" vertical="top" wrapText="1" indent="3"/>
    </xf>
    <xf numFmtId="0" fontId="7" fillId="0" borderId="5" xfId="0" applyFont="1" applyBorder="1" applyAlignment="1">
      <alignment horizontal="center" vertical="top" wrapText="1"/>
    </xf>
  </cellXfs>
  <cellStyles count="1">
    <cellStyle name="Standaard" xfId="0" builtinId="0"/>
  </cellStyles>
  <dxfs count="2">
    <dxf>
      <font>
        <b/>
        <i val="0"/>
      </font>
      <fill>
        <patternFill>
          <bgColor rgb="FFFF0000"/>
        </patternFill>
      </fill>
    </dxf>
    <dxf>
      <font>
        <b/>
        <i val="0"/>
      </font>
      <fill>
        <patternFill>
          <bgColor rgb="FFFF0000"/>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100965</xdr:colOff>
      <xdr:row>0</xdr:row>
      <xdr:rowOff>321945</xdr:rowOff>
    </xdr:from>
    <xdr:to>
      <xdr:col>1</xdr:col>
      <xdr:colOff>1641475</xdr:colOff>
      <xdr:row>0</xdr:row>
      <xdr:rowOff>612775</xdr:rowOff>
    </xdr:to>
    <xdr:pic>
      <xdr:nvPicPr>
        <xdr:cNvPr id="2" name="image1.png" descr="Afbeelding met Lettertype, schermopname, Elektrisch blauw, Majorelleblauw&#10;&#10;Automatisch gegenereerde beschrijving">
          <a:extLst>
            <a:ext uri="{FF2B5EF4-FFF2-40B4-BE49-F238E27FC236}">
              <a16:creationId xmlns:a16="http://schemas.microsoft.com/office/drawing/2014/main" id="{E7930D47-88A9-43A8-9740-5BE6C73469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 y="321945"/>
          <a:ext cx="1545590" cy="299720"/>
        </a:xfrm>
        <a:prstGeom prst="rect">
          <a:avLst/>
        </a:prstGeom>
      </xdr:spPr>
    </xdr:pic>
    <xdr:clientData/>
  </xdr:twoCellAnchor>
  <xdr:twoCellAnchor editAs="oneCell">
    <xdr:from>
      <xdr:col>1</xdr:col>
      <xdr:colOff>2057400</xdr:colOff>
      <xdr:row>0</xdr:row>
      <xdr:rowOff>114300</xdr:rowOff>
    </xdr:from>
    <xdr:to>
      <xdr:col>2</xdr:col>
      <xdr:colOff>1597025</xdr:colOff>
      <xdr:row>0</xdr:row>
      <xdr:rowOff>798195</xdr:rowOff>
    </xdr:to>
    <xdr:pic>
      <xdr:nvPicPr>
        <xdr:cNvPr id="3" name="Afbeelding 2">
          <a:extLst>
            <a:ext uri="{FF2B5EF4-FFF2-40B4-BE49-F238E27FC236}">
              <a16:creationId xmlns:a16="http://schemas.microsoft.com/office/drawing/2014/main" id="{63B4D62A-CDD2-4D6A-A7D4-8DD1FBD4964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0" y="114300"/>
          <a:ext cx="1585595" cy="6838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100965</xdr:colOff>
      <xdr:row>0</xdr:row>
      <xdr:rowOff>321945</xdr:rowOff>
    </xdr:from>
    <xdr:to>
      <xdr:col>1</xdr:col>
      <xdr:colOff>1641475</xdr:colOff>
      <xdr:row>0</xdr:row>
      <xdr:rowOff>612775</xdr:rowOff>
    </xdr:to>
    <xdr:pic>
      <xdr:nvPicPr>
        <xdr:cNvPr id="2" name="image1.png" descr="Afbeelding met Lettertype, schermopname, Elektrisch blauw, Majorelleblauw&#10;&#10;Automatisch gegenereerde beschrijving">
          <a:extLst>
            <a:ext uri="{FF2B5EF4-FFF2-40B4-BE49-F238E27FC236}">
              <a16:creationId xmlns:a16="http://schemas.microsoft.com/office/drawing/2014/main" id="{05B233B4-121D-42B6-B2F7-DB30FF4B0E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 y="321945"/>
          <a:ext cx="1540510" cy="290830"/>
        </a:xfrm>
        <a:prstGeom prst="rect">
          <a:avLst/>
        </a:prstGeom>
      </xdr:spPr>
    </xdr:pic>
    <xdr:clientData/>
  </xdr:twoCellAnchor>
  <xdr:twoCellAnchor editAs="oneCell">
    <xdr:from>
      <xdr:col>1</xdr:col>
      <xdr:colOff>2057400</xdr:colOff>
      <xdr:row>0</xdr:row>
      <xdr:rowOff>114300</xdr:rowOff>
    </xdr:from>
    <xdr:to>
      <xdr:col>2</xdr:col>
      <xdr:colOff>873125</xdr:colOff>
      <xdr:row>0</xdr:row>
      <xdr:rowOff>798195</xdr:rowOff>
    </xdr:to>
    <xdr:pic>
      <xdr:nvPicPr>
        <xdr:cNvPr id="3" name="Afbeelding 2">
          <a:extLst>
            <a:ext uri="{FF2B5EF4-FFF2-40B4-BE49-F238E27FC236}">
              <a16:creationId xmlns:a16="http://schemas.microsoft.com/office/drawing/2014/main" id="{9C1BDDD1-1365-475D-937B-E37B52BB9D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00325" y="114300"/>
          <a:ext cx="1597025" cy="6838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BK20"/>
  <sheetViews>
    <sheetView showZeros="0" tabSelected="1" topLeftCell="B1" workbookViewId="0">
      <selection activeCell="C4" sqref="C4"/>
    </sheetView>
  </sheetViews>
  <sheetFormatPr defaultColWidth="0" defaultRowHeight="14.4" zeroHeight="1" x14ac:dyDescent="0.3"/>
  <cols>
    <col min="1" max="1" width="8.88671875" style="13" hidden="1" customWidth="1"/>
    <col min="2" max="2" width="30.109375" style="11" customWidth="1"/>
    <col min="3" max="3" width="52.5546875" style="11" customWidth="1"/>
    <col min="4" max="6" width="8.88671875" style="11" customWidth="1"/>
    <col min="7" max="7" width="39.44140625" style="11" bestFit="1" customWidth="1"/>
    <col min="8" max="8" width="17.6640625" style="12" bestFit="1" customWidth="1"/>
    <col min="9" max="16" width="8.88671875" style="10" hidden="1"/>
    <col min="17" max="17" width="10.33203125" style="10" hidden="1"/>
    <col min="18" max="27" width="8.88671875" style="10" hidden="1"/>
    <col min="28" max="28" width="54.33203125" style="10" hidden="1"/>
    <col min="29" max="29" width="26.88671875" style="10" hidden="1"/>
    <col min="30" max="47" width="13" style="10" hidden="1"/>
    <col min="48" max="48" width="14.88671875" style="10" hidden="1"/>
    <col min="49" max="63" width="13" style="10" hidden="1"/>
    <col min="64" max="16384" width="8.88671875" style="10" hidden="1"/>
  </cols>
  <sheetData>
    <row r="1" spans="1:63" ht="87" customHeight="1" x14ac:dyDescent="0.3">
      <c r="B1" s="2"/>
      <c r="C1" s="1"/>
      <c r="D1" s="64" t="s">
        <v>118</v>
      </c>
      <c r="E1" s="65"/>
      <c r="F1" s="65"/>
      <c r="G1" s="65"/>
      <c r="H1" s="65"/>
      <c r="K1" s="63" t="s">
        <v>117</v>
      </c>
      <c r="L1" s="63"/>
      <c r="M1" s="63"/>
      <c r="N1" s="63"/>
      <c r="O1" s="63"/>
      <c r="P1" s="63"/>
      <c r="Q1" s="63"/>
    </row>
    <row r="2" spans="1:63" ht="31.2" customHeight="1" x14ac:dyDescent="0.3">
      <c r="B2" s="68" t="s">
        <v>109</v>
      </c>
      <c r="C2" s="68"/>
      <c r="D2" s="15"/>
      <c r="E2" s="15"/>
      <c r="F2" s="15"/>
      <c r="G2" s="66" t="s">
        <v>110</v>
      </c>
      <c r="H2" s="66"/>
      <c r="AB2" s="29" t="s">
        <v>28</v>
      </c>
      <c r="AC2" s="30"/>
      <c r="AD2" s="30"/>
      <c r="AE2" s="30"/>
      <c r="AF2" s="30"/>
      <c r="AG2" s="30"/>
      <c r="AH2" s="30"/>
      <c r="AI2" s="30"/>
      <c r="AJ2" s="30"/>
      <c r="AK2" s="30"/>
      <c r="AL2" s="30" t="s">
        <v>106</v>
      </c>
      <c r="AM2" s="30"/>
      <c r="AN2" s="30" t="s">
        <v>0</v>
      </c>
      <c r="AO2" s="30"/>
      <c r="AP2" s="30"/>
      <c r="AQ2" s="30"/>
      <c r="AR2" s="30"/>
      <c r="AS2" s="30"/>
      <c r="AT2" s="30"/>
      <c r="AU2" s="30"/>
      <c r="AV2" s="30" t="s">
        <v>12</v>
      </c>
      <c r="AW2" s="30" t="s">
        <v>16</v>
      </c>
      <c r="AX2" s="30" t="s">
        <v>17</v>
      </c>
      <c r="AY2" s="30"/>
      <c r="AZ2" s="30" t="s">
        <v>20</v>
      </c>
      <c r="BA2" s="30"/>
      <c r="BB2" s="30"/>
      <c r="BC2" s="30" t="s">
        <v>22</v>
      </c>
      <c r="BD2" s="30"/>
      <c r="BE2" s="30"/>
      <c r="BF2" s="30" t="s">
        <v>24</v>
      </c>
      <c r="BG2" s="30"/>
      <c r="BH2" s="30"/>
      <c r="BI2" s="30" t="s">
        <v>26</v>
      </c>
      <c r="BJ2" s="30"/>
      <c r="BK2" s="30"/>
    </row>
    <row r="3" spans="1:63" ht="28.95" customHeight="1" x14ac:dyDescent="0.3">
      <c r="B3" s="14"/>
      <c r="C3" s="14"/>
      <c r="D3" s="15"/>
      <c r="E3" s="15"/>
      <c r="F3" s="15"/>
      <c r="G3" s="15"/>
      <c r="H3" s="16"/>
      <c r="Q3" s="42" t="s">
        <v>121</v>
      </c>
      <c r="AB3" s="31" t="s">
        <v>27</v>
      </c>
      <c r="AC3" s="32" t="s">
        <v>33</v>
      </c>
      <c r="AD3" s="32" t="s">
        <v>29</v>
      </c>
      <c r="AE3" s="32" t="s">
        <v>37</v>
      </c>
      <c r="AF3" s="32" t="s">
        <v>52</v>
      </c>
      <c r="AG3" s="32" t="s">
        <v>30</v>
      </c>
      <c r="AH3" s="32" t="s">
        <v>31</v>
      </c>
      <c r="AI3" s="32" t="s">
        <v>32</v>
      </c>
      <c r="AJ3" s="32" t="s">
        <v>44</v>
      </c>
      <c r="AK3" s="32" t="s">
        <v>58</v>
      </c>
      <c r="AL3" s="32" t="s">
        <v>107</v>
      </c>
      <c r="AM3" s="32"/>
      <c r="AN3" s="32"/>
      <c r="AO3" s="32" t="s">
        <v>8</v>
      </c>
      <c r="AP3" s="32" t="s">
        <v>9</v>
      </c>
      <c r="AQ3" s="32" t="s">
        <v>10</v>
      </c>
      <c r="AR3" s="32" t="s">
        <v>11</v>
      </c>
      <c r="AS3" s="32"/>
      <c r="AT3" s="32"/>
      <c r="AU3" s="32">
        <v>1</v>
      </c>
      <c r="AV3" s="32" t="s">
        <v>13</v>
      </c>
      <c r="AW3" s="33">
        <v>48</v>
      </c>
      <c r="AX3" s="33">
        <v>191</v>
      </c>
      <c r="AY3" s="32"/>
      <c r="AZ3" s="32" t="s">
        <v>21</v>
      </c>
      <c r="BA3" s="33">
        <v>80</v>
      </c>
      <c r="BB3" s="32"/>
      <c r="BC3" s="32" t="s">
        <v>23</v>
      </c>
      <c r="BD3" s="33">
        <v>125</v>
      </c>
      <c r="BE3" s="32"/>
      <c r="BF3" s="32" t="s">
        <v>25</v>
      </c>
      <c r="BG3" s="33">
        <v>680</v>
      </c>
      <c r="BH3" s="32"/>
      <c r="BI3" s="32" t="s">
        <v>25</v>
      </c>
      <c r="BJ3" s="33">
        <v>150</v>
      </c>
      <c r="BK3" s="32"/>
    </row>
    <row r="4" spans="1:63" x14ac:dyDescent="0.3">
      <c r="B4" s="22" t="s">
        <v>113</v>
      </c>
      <c r="C4" s="23"/>
      <c r="D4" s="15"/>
      <c r="E4" s="15"/>
      <c r="F4" s="15"/>
      <c r="G4" s="69" t="s">
        <v>111</v>
      </c>
      <c r="H4" s="69"/>
      <c r="Q4" s="37">
        <f>C4</f>
        <v>0</v>
      </c>
      <c r="R4" s="37"/>
      <c r="S4" s="37"/>
      <c r="T4" s="37"/>
      <c r="U4" s="37"/>
      <c r="V4" s="37"/>
      <c r="W4" s="37"/>
      <c r="X4" s="37"/>
      <c r="Y4" s="37"/>
      <c r="AB4" s="31" t="s">
        <v>34</v>
      </c>
      <c r="AC4" s="32" t="s">
        <v>39</v>
      </c>
      <c r="AD4" s="32">
        <v>1</v>
      </c>
      <c r="AE4" s="32">
        <v>1</v>
      </c>
      <c r="AF4" s="32">
        <v>1</v>
      </c>
      <c r="AG4" s="32">
        <v>10</v>
      </c>
      <c r="AH4" s="32">
        <v>100</v>
      </c>
      <c r="AI4" s="32">
        <v>100</v>
      </c>
      <c r="AJ4" s="32">
        <v>500</v>
      </c>
      <c r="AK4" s="32">
        <v>0</v>
      </c>
      <c r="AL4" s="32" t="s">
        <v>53</v>
      </c>
      <c r="AM4" s="32" t="s">
        <v>60</v>
      </c>
      <c r="AN4" s="32" t="s">
        <v>1</v>
      </c>
      <c r="AO4" s="34">
        <v>1</v>
      </c>
      <c r="AP4" s="34">
        <v>99</v>
      </c>
      <c r="AQ4" s="33">
        <v>56</v>
      </c>
      <c r="AR4" s="33">
        <v>28</v>
      </c>
      <c r="AS4" s="32"/>
      <c r="AT4" s="32"/>
      <c r="AU4" s="32">
        <v>2</v>
      </c>
      <c r="AV4" s="32" t="s">
        <v>14</v>
      </c>
      <c r="AW4" s="33">
        <v>42</v>
      </c>
      <c r="AX4" s="33">
        <v>169</v>
      </c>
      <c r="AY4" s="32"/>
      <c r="AZ4" s="32"/>
      <c r="BA4" s="32"/>
      <c r="BB4" s="32"/>
      <c r="BC4" s="32"/>
      <c r="BD4" s="32"/>
      <c r="BE4" s="32"/>
      <c r="BF4" s="32"/>
      <c r="BG4" s="32"/>
      <c r="BH4" s="32"/>
      <c r="BI4" s="32"/>
      <c r="BJ4" s="32"/>
      <c r="BK4" s="32"/>
    </row>
    <row r="5" spans="1:63" x14ac:dyDescent="0.3">
      <c r="B5" s="24" t="s">
        <v>114</v>
      </c>
      <c r="C5" s="62"/>
      <c r="D5" s="71" t="str">
        <f>IF(ISBLANK(C5),"",IF(U7=FALSE,"Stay is too long!",IF(U8=FALSE,"Stay is too short!","")))</f>
        <v/>
      </c>
      <c r="E5" s="71"/>
      <c r="F5" s="71"/>
      <c r="G5" s="17" t="s">
        <v>55</v>
      </c>
      <c r="H5" s="16" t="str">
        <f>IFERROR(IF(C4="Preparatory visit",0,IF(C4="Courses and training",U18,IF(OR(AND(Q6="Learner mobility",C12="Yes"),Q6="Staff mobility",Q6="Other"),S18,R18))),"")</f>
        <v/>
      </c>
      <c r="Q5" s="37" t="s">
        <v>33</v>
      </c>
      <c r="R5" s="37" t="s">
        <v>29</v>
      </c>
      <c r="S5" s="37" t="s">
        <v>37</v>
      </c>
      <c r="T5" s="37" t="s">
        <v>52</v>
      </c>
      <c r="U5" s="37" t="s">
        <v>30</v>
      </c>
      <c r="V5" s="37" t="s">
        <v>31</v>
      </c>
      <c r="W5" s="37" t="s">
        <v>32</v>
      </c>
      <c r="X5" s="37" t="s">
        <v>44</v>
      </c>
      <c r="Y5" s="37" t="s">
        <v>58</v>
      </c>
      <c r="AB5" s="31" t="s">
        <v>35</v>
      </c>
      <c r="AC5" s="32" t="s">
        <v>39</v>
      </c>
      <c r="AD5" s="32">
        <v>10</v>
      </c>
      <c r="AE5" s="32">
        <v>2</v>
      </c>
      <c r="AF5" s="32">
        <v>1</v>
      </c>
      <c r="AG5" s="32">
        <v>89</v>
      </c>
      <c r="AH5" s="32">
        <v>350</v>
      </c>
      <c r="AI5" s="32">
        <v>200</v>
      </c>
      <c r="AJ5" s="32">
        <v>500</v>
      </c>
      <c r="AK5" s="32">
        <v>1</v>
      </c>
      <c r="AL5" s="32" t="s">
        <v>54</v>
      </c>
      <c r="AM5" s="32" t="s">
        <v>61</v>
      </c>
      <c r="AN5" s="32" t="s">
        <v>2</v>
      </c>
      <c r="AO5" s="34">
        <v>100</v>
      </c>
      <c r="AP5" s="34">
        <v>499</v>
      </c>
      <c r="AQ5" s="33">
        <v>285</v>
      </c>
      <c r="AR5" s="33">
        <v>211</v>
      </c>
      <c r="AS5" s="32"/>
      <c r="AT5" s="32"/>
      <c r="AU5" s="32">
        <v>3</v>
      </c>
      <c r="AV5" s="32" t="s">
        <v>15</v>
      </c>
      <c r="AW5" s="33">
        <v>36</v>
      </c>
      <c r="AX5" s="33">
        <v>148</v>
      </c>
      <c r="AY5" s="32"/>
      <c r="AZ5" s="32" t="s">
        <v>123</v>
      </c>
      <c r="BA5" s="32">
        <v>10</v>
      </c>
      <c r="BB5" s="32"/>
      <c r="BC5" s="32"/>
      <c r="BD5" s="32"/>
      <c r="BE5" s="32"/>
      <c r="BF5" s="32" t="s">
        <v>122</v>
      </c>
      <c r="BG5" s="32"/>
      <c r="BH5" s="32"/>
      <c r="BI5" s="32"/>
      <c r="BJ5" s="32"/>
      <c r="BK5" s="32"/>
    </row>
    <row r="6" spans="1:63" x14ac:dyDescent="0.3">
      <c r="B6" s="24" t="s">
        <v>47</v>
      </c>
      <c r="C6" s="25"/>
      <c r="D6" s="15"/>
      <c r="E6" s="15"/>
      <c r="F6" s="15"/>
      <c r="G6" s="17" t="s">
        <v>56</v>
      </c>
      <c r="H6" s="16" t="str">
        <f>IF(C4="Preparatory visit",0,IF(C6="Green travel",R10,S10))</f>
        <v/>
      </c>
      <c r="Q6" s="37" t="str">
        <f t="shared" ref="Q6:Y6" si="0">_xlfn.XLOOKUP($Q$4,$AB$4:$AB$12,AC4:AC12,"",0,1)</f>
        <v/>
      </c>
      <c r="R6" s="37" t="str">
        <f t="shared" si="0"/>
        <v/>
      </c>
      <c r="S6" s="37" t="str">
        <f t="shared" si="0"/>
        <v/>
      </c>
      <c r="T6" s="37" t="str">
        <f t="shared" si="0"/>
        <v/>
      </c>
      <c r="U6" s="37" t="str">
        <f t="shared" si="0"/>
        <v/>
      </c>
      <c r="V6" s="37" t="str">
        <f t="shared" si="0"/>
        <v/>
      </c>
      <c r="W6" s="37" t="str">
        <f t="shared" si="0"/>
        <v/>
      </c>
      <c r="X6" s="37" t="str">
        <f t="shared" si="0"/>
        <v/>
      </c>
      <c r="Y6" s="37" t="str">
        <f t="shared" si="0"/>
        <v/>
      </c>
      <c r="AB6" s="31" t="s">
        <v>36</v>
      </c>
      <c r="AC6" s="32" t="s">
        <v>39</v>
      </c>
      <c r="AD6" s="32">
        <v>90</v>
      </c>
      <c r="AE6" s="32">
        <v>90</v>
      </c>
      <c r="AF6" s="32">
        <v>1</v>
      </c>
      <c r="AG6" s="32">
        <v>365</v>
      </c>
      <c r="AH6" s="32">
        <v>500</v>
      </c>
      <c r="AI6" s="32">
        <v>500</v>
      </c>
      <c r="AJ6" s="32">
        <v>500</v>
      </c>
      <c r="AK6" s="32">
        <v>0</v>
      </c>
      <c r="AL6" s="32"/>
      <c r="AM6" s="32" t="s">
        <v>62</v>
      </c>
      <c r="AN6" s="32" t="s">
        <v>3</v>
      </c>
      <c r="AO6" s="34">
        <v>500</v>
      </c>
      <c r="AP6" s="34">
        <v>1999</v>
      </c>
      <c r="AQ6" s="33">
        <v>417</v>
      </c>
      <c r="AR6" s="33">
        <v>309</v>
      </c>
      <c r="AS6" s="32"/>
      <c r="AT6" s="32"/>
      <c r="AU6" s="32"/>
      <c r="AV6" s="32"/>
      <c r="AW6" s="32"/>
      <c r="AX6" s="32"/>
      <c r="AY6" s="32"/>
      <c r="AZ6" s="32"/>
      <c r="BA6" s="32"/>
      <c r="BB6" s="32"/>
      <c r="BC6" s="32"/>
      <c r="BD6" s="32"/>
      <c r="BE6" s="32"/>
      <c r="BF6" s="32"/>
      <c r="BG6" s="32"/>
      <c r="BH6" s="32"/>
      <c r="BI6" s="32"/>
      <c r="BJ6" s="32"/>
      <c r="BK6" s="32"/>
    </row>
    <row r="7" spans="1:63" x14ac:dyDescent="0.3">
      <c r="B7" s="24" t="s">
        <v>67</v>
      </c>
      <c r="C7" s="26"/>
      <c r="D7" s="15"/>
      <c r="E7" s="15"/>
      <c r="F7" s="15"/>
      <c r="G7" s="17" t="s">
        <v>26</v>
      </c>
      <c r="H7" s="16" t="str">
        <f>IF(ISBLANK(C10),"",IF(C4="Preparatory Visit",0,IF(C10="Yes",BJ3,0)))</f>
        <v/>
      </c>
      <c r="Q7" s="37"/>
      <c r="R7" s="37" t="b">
        <f>$C$5&gt;=R6</f>
        <v>1</v>
      </c>
      <c r="S7" s="37" t="b">
        <f>$C$5&gt;=S6</f>
        <v>1</v>
      </c>
      <c r="T7" s="37" t="b">
        <f>$C$5&gt;=T6</f>
        <v>1</v>
      </c>
      <c r="U7" s="37" t="b">
        <f>$C$5&lt;=U6</f>
        <v>1</v>
      </c>
      <c r="V7" s="37"/>
      <c r="W7" s="37"/>
      <c r="X7" s="37"/>
      <c r="Y7" s="37"/>
      <c r="AB7" s="31" t="s">
        <v>41</v>
      </c>
      <c r="AC7" s="32" t="s">
        <v>40</v>
      </c>
      <c r="AD7" s="32">
        <v>2</v>
      </c>
      <c r="AE7" s="32">
        <v>2</v>
      </c>
      <c r="AF7" s="32">
        <v>1</v>
      </c>
      <c r="AG7" s="32">
        <v>60</v>
      </c>
      <c r="AH7" s="32">
        <v>350</v>
      </c>
      <c r="AI7" s="32">
        <v>200</v>
      </c>
      <c r="AJ7" s="32">
        <v>500</v>
      </c>
      <c r="AK7" s="32">
        <v>0</v>
      </c>
      <c r="AL7" s="32"/>
      <c r="AM7" s="32" t="s">
        <v>63</v>
      </c>
      <c r="AN7" s="32" t="s">
        <v>4</v>
      </c>
      <c r="AO7" s="34">
        <v>2000</v>
      </c>
      <c r="AP7" s="34">
        <v>2999</v>
      </c>
      <c r="AQ7" s="33">
        <v>535</v>
      </c>
      <c r="AR7" s="33">
        <v>395</v>
      </c>
      <c r="AS7" s="32"/>
      <c r="AT7" s="32"/>
      <c r="AU7" s="32"/>
      <c r="AV7" s="32" t="s">
        <v>124</v>
      </c>
      <c r="AW7" s="32">
        <v>14</v>
      </c>
      <c r="AX7" s="32"/>
      <c r="AY7" s="32"/>
      <c r="AZ7" s="32"/>
      <c r="BA7" s="32"/>
      <c r="BB7" s="32"/>
      <c r="BC7" s="32"/>
      <c r="BD7" s="32"/>
      <c r="BE7" s="32"/>
      <c r="BF7" s="32"/>
      <c r="BG7" s="32"/>
      <c r="BH7" s="32"/>
      <c r="BI7" s="32"/>
      <c r="BJ7" s="32"/>
      <c r="BK7" s="32"/>
    </row>
    <row r="8" spans="1:63" x14ac:dyDescent="0.3">
      <c r="B8" s="24" t="s">
        <v>108</v>
      </c>
      <c r="C8" s="25"/>
      <c r="D8" s="15"/>
      <c r="E8" s="15"/>
      <c r="F8" s="15"/>
      <c r="G8" s="61" t="s">
        <v>105</v>
      </c>
      <c r="H8" s="18">
        <f>SUM(H5:H7)</f>
        <v>0</v>
      </c>
      <c r="Q8" s="37"/>
      <c r="R8" s="37"/>
      <c r="S8" s="37"/>
      <c r="T8" s="37"/>
      <c r="U8" s="37" t="b">
        <f>IF(C11="Yes",S7,IF(C12="Yes",T7,R7))</f>
        <v>1</v>
      </c>
      <c r="V8" s="37"/>
      <c r="W8" s="37"/>
      <c r="X8" s="37"/>
      <c r="Y8" s="37"/>
      <c r="AB8" s="31" t="s">
        <v>42</v>
      </c>
      <c r="AC8" s="32" t="s">
        <v>40</v>
      </c>
      <c r="AD8" s="32">
        <v>2</v>
      </c>
      <c r="AE8" s="32">
        <v>2</v>
      </c>
      <c r="AF8" s="32">
        <v>1</v>
      </c>
      <c r="AG8" s="32">
        <v>365</v>
      </c>
      <c r="AH8" s="32">
        <v>350</v>
      </c>
      <c r="AI8" s="32">
        <v>200</v>
      </c>
      <c r="AJ8" s="32">
        <v>500</v>
      </c>
      <c r="AK8" s="32">
        <v>1</v>
      </c>
      <c r="AL8" s="32"/>
      <c r="AM8" s="32" t="s">
        <v>64</v>
      </c>
      <c r="AN8" s="32" t="s">
        <v>5</v>
      </c>
      <c r="AO8" s="34">
        <v>3000</v>
      </c>
      <c r="AP8" s="34">
        <v>3999</v>
      </c>
      <c r="AQ8" s="33">
        <v>785</v>
      </c>
      <c r="AR8" s="33">
        <v>580</v>
      </c>
      <c r="AS8" s="32"/>
      <c r="AT8" s="32"/>
      <c r="AU8" s="32"/>
      <c r="AV8" s="32" t="s">
        <v>18</v>
      </c>
      <c r="AW8" s="32"/>
      <c r="AX8" s="32"/>
      <c r="AY8" s="32"/>
      <c r="AZ8" s="32"/>
      <c r="BA8" s="32"/>
      <c r="BB8" s="32"/>
      <c r="BC8" s="32"/>
      <c r="BD8" s="32"/>
      <c r="BE8" s="32"/>
      <c r="BF8" s="32"/>
      <c r="BG8" s="32"/>
      <c r="BH8" s="32"/>
      <c r="BI8" s="32"/>
      <c r="BJ8" s="32"/>
      <c r="BK8" s="32"/>
    </row>
    <row r="9" spans="1:63" x14ac:dyDescent="0.3">
      <c r="B9" s="24" t="s">
        <v>59</v>
      </c>
      <c r="C9" s="25"/>
      <c r="D9" s="15"/>
      <c r="E9" s="15"/>
      <c r="F9" s="15"/>
      <c r="G9" s="19"/>
      <c r="H9" s="16"/>
      <c r="Q9" s="38"/>
      <c r="R9" s="37" t="s">
        <v>10</v>
      </c>
      <c r="S9" s="37" t="s">
        <v>11</v>
      </c>
      <c r="T9" s="37"/>
      <c r="U9" s="37"/>
      <c r="V9" s="37"/>
      <c r="W9" s="37"/>
      <c r="X9" s="37"/>
      <c r="Y9" s="37"/>
      <c r="AB9" s="31" t="s">
        <v>43</v>
      </c>
      <c r="AC9" s="32" t="s">
        <v>40</v>
      </c>
      <c r="AD9" s="32">
        <v>2</v>
      </c>
      <c r="AE9" s="32">
        <v>2</v>
      </c>
      <c r="AF9" s="32">
        <v>1</v>
      </c>
      <c r="AG9" s="32">
        <v>30</v>
      </c>
      <c r="AH9" s="32">
        <v>100</v>
      </c>
      <c r="AI9" s="32">
        <v>100</v>
      </c>
      <c r="AJ9" s="32">
        <v>500</v>
      </c>
      <c r="AK9" s="32">
        <v>1</v>
      </c>
      <c r="AL9" s="32"/>
      <c r="AM9" s="32" t="s">
        <v>65</v>
      </c>
      <c r="AN9" s="32" t="s">
        <v>6</v>
      </c>
      <c r="AO9" s="34">
        <v>4000</v>
      </c>
      <c r="AP9" s="34">
        <v>7999</v>
      </c>
      <c r="AQ9" s="33">
        <v>1188</v>
      </c>
      <c r="AR9" s="33">
        <v>1188</v>
      </c>
      <c r="AS9" s="32"/>
      <c r="AT9" s="32"/>
      <c r="AU9" s="32"/>
      <c r="AV9" s="32"/>
      <c r="AW9" s="32"/>
      <c r="AX9" s="32"/>
      <c r="AY9" s="32"/>
      <c r="AZ9" s="32"/>
      <c r="BA9" s="32"/>
      <c r="BB9" s="32"/>
      <c r="BC9" s="32"/>
      <c r="BD9" s="32"/>
      <c r="BE9" s="32"/>
      <c r="BF9" s="32"/>
      <c r="BG9" s="32"/>
      <c r="BH9" s="32"/>
      <c r="BI9" s="32"/>
      <c r="BJ9" s="32"/>
      <c r="BK9" s="32"/>
    </row>
    <row r="10" spans="1:63" x14ac:dyDescent="0.3">
      <c r="B10" s="24" t="s">
        <v>26</v>
      </c>
      <c r="C10" s="25"/>
      <c r="D10" s="15"/>
      <c r="E10" s="15"/>
      <c r="F10" s="15"/>
      <c r="G10" s="70" t="s">
        <v>112</v>
      </c>
      <c r="H10" s="70"/>
      <c r="Q10" s="38">
        <f>C7</f>
        <v>0</v>
      </c>
      <c r="R10" s="37" t="str">
        <f>_xlfn.XLOOKUP($Q$10,$AM$4:$AM$10,AQ4:AQ10,"",0,1)</f>
        <v/>
      </c>
      <c r="S10" s="37" t="str">
        <f>_xlfn.XLOOKUP($Q$10,$AM$4:$AM$10,AR4:AR10,"",0,1)</f>
        <v/>
      </c>
      <c r="T10" s="37"/>
      <c r="U10" s="37"/>
      <c r="V10" s="37"/>
      <c r="W10" s="37"/>
      <c r="X10" s="37"/>
      <c r="Y10" s="37"/>
      <c r="AB10" s="31" t="s">
        <v>19</v>
      </c>
      <c r="AC10" s="32" t="s">
        <v>46</v>
      </c>
      <c r="AD10" s="32">
        <v>2</v>
      </c>
      <c r="AE10" s="32">
        <v>2</v>
      </c>
      <c r="AF10" s="32">
        <v>1</v>
      </c>
      <c r="AG10" s="32">
        <v>60</v>
      </c>
      <c r="AH10" s="32">
        <v>100</v>
      </c>
      <c r="AI10" s="32">
        <v>100</v>
      </c>
      <c r="AJ10" s="32">
        <v>500</v>
      </c>
      <c r="AK10" s="32">
        <v>0</v>
      </c>
      <c r="AL10" s="32"/>
      <c r="AM10" s="32" t="s">
        <v>66</v>
      </c>
      <c r="AN10" s="32" t="s">
        <v>7</v>
      </c>
      <c r="AO10" s="34">
        <v>8000</v>
      </c>
      <c r="AP10" s="34">
        <f>40075/2</f>
        <v>20037.5</v>
      </c>
      <c r="AQ10" s="33">
        <v>1735</v>
      </c>
      <c r="AR10" s="33">
        <v>1735</v>
      </c>
      <c r="AS10" s="32"/>
      <c r="AT10" s="32"/>
      <c r="AU10" s="32"/>
      <c r="AV10" s="32"/>
      <c r="AW10" s="32"/>
      <c r="AX10" s="32"/>
      <c r="AY10" s="32"/>
      <c r="AZ10" s="32"/>
      <c r="BA10" s="32"/>
      <c r="BB10" s="32"/>
      <c r="BC10" s="32"/>
      <c r="BD10" s="32"/>
      <c r="BE10" s="32"/>
      <c r="BF10" s="32"/>
      <c r="BG10" s="32"/>
      <c r="BH10" s="32"/>
      <c r="BI10" s="32"/>
      <c r="BJ10" s="32"/>
      <c r="BK10" s="32"/>
    </row>
    <row r="11" spans="1:63" x14ac:dyDescent="0.3">
      <c r="B11" s="24" t="s">
        <v>48</v>
      </c>
      <c r="C11" s="25"/>
      <c r="D11" s="15"/>
      <c r="E11" s="15"/>
      <c r="F11" s="15"/>
      <c r="G11" s="20" t="s">
        <v>57</v>
      </c>
      <c r="H11" s="16" t="str">
        <f>IF(C12="Yes",0,IF(C8="Yes",X6,IF(C13="Yes",W6,V6)))</f>
        <v/>
      </c>
      <c r="AB11" s="31" t="s">
        <v>45</v>
      </c>
      <c r="AC11" s="32" t="s">
        <v>46</v>
      </c>
      <c r="AD11" s="32">
        <v>10</v>
      </c>
      <c r="AE11" s="32">
        <v>2</v>
      </c>
      <c r="AF11" s="32">
        <v>1</v>
      </c>
      <c r="AG11" s="32">
        <v>365</v>
      </c>
      <c r="AH11" s="32">
        <v>100</v>
      </c>
      <c r="AI11" s="32">
        <v>100</v>
      </c>
      <c r="AJ11" s="32">
        <v>500</v>
      </c>
      <c r="AK11" s="32">
        <v>0</v>
      </c>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row>
    <row r="12" spans="1:63" x14ac:dyDescent="0.3">
      <c r="B12" s="24" t="s">
        <v>49</v>
      </c>
      <c r="C12" s="25"/>
      <c r="D12" s="15"/>
      <c r="E12" s="15"/>
      <c r="F12" s="15"/>
      <c r="G12" s="20" t="s">
        <v>119</v>
      </c>
      <c r="H12" s="16" t="str">
        <f>IF(ISBLANK(C11),"",IF(C11="Yes",BD3,0))</f>
        <v/>
      </c>
      <c r="AB12" s="35" t="s">
        <v>50</v>
      </c>
      <c r="AC12" s="36" t="s">
        <v>51</v>
      </c>
      <c r="AD12" s="36">
        <v>1</v>
      </c>
      <c r="AE12" s="36">
        <v>1</v>
      </c>
      <c r="AF12" s="36">
        <v>1</v>
      </c>
      <c r="AG12" s="36">
        <v>365</v>
      </c>
      <c r="AH12" s="36">
        <v>680</v>
      </c>
      <c r="AI12" s="36">
        <v>680</v>
      </c>
      <c r="AJ12" s="36">
        <v>680</v>
      </c>
      <c r="AK12" s="32">
        <v>0</v>
      </c>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row>
    <row r="13" spans="1:63" ht="27.6" x14ac:dyDescent="0.3">
      <c r="B13" s="27" t="s">
        <v>115</v>
      </c>
      <c r="C13" s="28"/>
      <c r="D13" s="15"/>
      <c r="E13" s="15"/>
      <c r="F13" s="15"/>
      <c r="G13" s="60" t="s">
        <v>105</v>
      </c>
      <c r="H13" s="21">
        <f>SUM(H11:H12)</f>
        <v>0</v>
      </c>
      <c r="AB13" s="31" t="s">
        <v>38</v>
      </c>
      <c r="AC13" s="32" t="s">
        <v>39</v>
      </c>
      <c r="AD13" s="32">
        <v>2</v>
      </c>
      <c r="AE13" s="32">
        <v>2</v>
      </c>
      <c r="AF13" s="32">
        <v>1</v>
      </c>
      <c r="AG13" s="32">
        <v>30</v>
      </c>
      <c r="AH13" s="32">
        <v>100</v>
      </c>
      <c r="AI13" s="32">
        <v>100</v>
      </c>
      <c r="AJ13" s="32">
        <v>500</v>
      </c>
      <c r="AK13" s="36">
        <v>0</v>
      </c>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row>
    <row r="14" spans="1:63" x14ac:dyDescent="0.3">
      <c r="B14" s="67" t="s">
        <v>146</v>
      </c>
      <c r="C14" s="67"/>
      <c r="D14" s="67"/>
      <c r="E14" s="67"/>
      <c r="F14" s="67"/>
      <c r="G14" s="67"/>
      <c r="H14" s="67"/>
      <c r="Q14" s="42" t="s">
        <v>120</v>
      </c>
      <c r="AB14" s="13"/>
      <c r="AC14" s="11"/>
      <c r="AD14" s="11"/>
      <c r="AE14" s="11"/>
      <c r="AF14" s="11"/>
      <c r="AG14" s="11"/>
      <c r="AH14" s="11"/>
      <c r="AI14" s="12"/>
    </row>
    <row r="15" spans="1:63" hidden="1" x14ac:dyDescent="0.3">
      <c r="Q15" s="37"/>
      <c r="R15" s="37" t="s">
        <v>16</v>
      </c>
      <c r="S15" s="37" t="s">
        <v>17</v>
      </c>
      <c r="T15" s="37"/>
      <c r="U15" s="37"/>
      <c r="AA15" s="13"/>
      <c r="AB15" s="11"/>
      <c r="AC15" s="11"/>
      <c r="AD15" s="11"/>
      <c r="AE15" s="11"/>
      <c r="AF15" s="11"/>
      <c r="AG15" s="11"/>
      <c r="AH15" s="12"/>
    </row>
    <row r="16" spans="1:63" hidden="1" x14ac:dyDescent="0.3">
      <c r="A16" s="13" t="s">
        <v>104</v>
      </c>
      <c r="Q16" s="37">
        <f>C9</f>
        <v>0</v>
      </c>
      <c r="R16" s="37" t="str">
        <f>_xlfn.XLOOKUP($Q$16,$AV$3:$AV$5,AW3:AW5,"",0,1)</f>
        <v/>
      </c>
      <c r="S16" s="37" t="str">
        <f>_xlfn.XLOOKUP($Q$16,$AV$3:$AV$5,AX3:AX5,"",0,1)</f>
        <v/>
      </c>
      <c r="T16" s="37"/>
      <c r="U16" s="39">
        <f>BA3</f>
        <v>80</v>
      </c>
      <c r="AA16" s="13"/>
    </row>
    <row r="17" spans="1:34" hidden="1" x14ac:dyDescent="0.3">
      <c r="A17" s="13" t="s">
        <v>116</v>
      </c>
      <c r="Q17" s="40">
        <v>0.7</v>
      </c>
      <c r="R17" s="37" t="e">
        <f>ROUND(R16*$Q$17,0)</f>
        <v>#VALUE!</v>
      </c>
      <c r="S17" s="37" t="e">
        <f>ROUND(S16*$Q$17,0)</f>
        <v>#VALUE!</v>
      </c>
      <c r="T17" s="37"/>
      <c r="U17" s="37"/>
      <c r="AA17" s="13"/>
      <c r="AB17" s="11"/>
      <c r="AC17" s="11"/>
      <c r="AD17" s="11"/>
      <c r="AE17" s="11"/>
      <c r="AF17" s="11"/>
      <c r="AG17" s="11"/>
      <c r="AH17" s="12"/>
    </row>
    <row r="18" spans="1:34" hidden="1" x14ac:dyDescent="0.3">
      <c r="A18" s="13" t="s">
        <v>132</v>
      </c>
      <c r="Q18" s="41">
        <f>C5</f>
        <v>0</v>
      </c>
      <c r="R18" s="37" t="e">
        <f>SUM(R19:R20)</f>
        <v>#VALUE!</v>
      </c>
      <c r="S18" s="37" t="e">
        <f>SUM(S19:S20)</f>
        <v>#VALUE!</v>
      </c>
      <c r="T18" s="37"/>
      <c r="U18" s="39">
        <f>MIN(BA5,Q18)*U16</f>
        <v>0</v>
      </c>
    </row>
    <row r="19" spans="1:34" hidden="1" x14ac:dyDescent="0.3">
      <c r="A19" s="13" t="s">
        <v>138</v>
      </c>
      <c r="Q19" s="41">
        <f>MIN(AW7,Q18)</f>
        <v>0</v>
      </c>
      <c r="R19" s="37" t="e">
        <f>Q19*R16</f>
        <v>#VALUE!</v>
      </c>
      <c r="S19" s="37" t="e">
        <f>Q19*S16</f>
        <v>#VALUE!</v>
      </c>
      <c r="T19" s="37"/>
      <c r="U19" s="37"/>
    </row>
    <row r="20" spans="1:34" hidden="1" x14ac:dyDescent="0.3">
      <c r="Q20" s="41">
        <f>MAX(Q18-AW7,0)</f>
        <v>0</v>
      </c>
      <c r="R20" s="37" t="e">
        <f>(Q20*R17)</f>
        <v>#VALUE!</v>
      </c>
      <c r="S20" s="37" t="e">
        <f>(Q20*S17)</f>
        <v>#VALUE!</v>
      </c>
      <c r="T20" s="37"/>
      <c r="U20" s="37"/>
    </row>
  </sheetData>
  <sheetProtection algorithmName="SHA-512" hashValue="7Pl0C7gRs4r4wVr7HAFBwELM7OrSLHH/LMSnRd6Dr+bvks2Nf/Ite9ZMyQuKWkVoOmX+aSY8rIJuYTQ3poYJ6w==" saltValue="b6RkBks6Q6WNtwnRIVeo7A==" spinCount="100000" sheet="1" objects="1" scenarios="1"/>
  <mergeCells count="8">
    <mergeCell ref="K1:Q1"/>
    <mergeCell ref="D1:H1"/>
    <mergeCell ref="G2:H2"/>
    <mergeCell ref="B14:H14"/>
    <mergeCell ref="B2:C2"/>
    <mergeCell ref="G4:H4"/>
    <mergeCell ref="G10:H10"/>
    <mergeCell ref="D5:F5"/>
  </mergeCells>
  <conditionalFormatting sqref="D5:F5">
    <cfRule type="notContainsBlanks" dxfId="1" priority="1">
      <formula>LEN(TRIM(D5))&gt;0</formula>
    </cfRule>
  </conditionalFormatting>
  <dataValidations count="6">
    <dataValidation type="list" allowBlank="1" showInputMessage="1" showErrorMessage="1" sqref="C9" xr:uid="{5443EE28-1B76-4452-8B46-348198139697}">
      <formula1>$AV$3:$AV$5</formula1>
    </dataValidation>
    <dataValidation type="list" allowBlank="1" showInputMessage="1" showErrorMessage="1" sqref="C6" xr:uid="{B2AD1D03-DA0F-406D-9A75-26B38647CB0D}">
      <formula1>$AL$4:$AL$5</formula1>
    </dataValidation>
    <dataValidation type="list" allowBlank="1" showInputMessage="1" showErrorMessage="1" sqref="C8 C10:C13" xr:uid="{BA52AB31-1219-4153-B37A-084475719168}">
      <formula1>$AL$2:$AL$3</formula1>
    </dataValidation>
    <dataValidation type="list" allowBlank="1" showInputMessage="1" showErrorMessage="1" sqref="C7" xr:uid="{D4FA4CEE-8D11-4B64-B1BA-83FA58CB7BAF}">
      <formula1>$AM$4:$AM$10</formula1>
    </dataValidation>
    <dataValidation type="list" allowBlank="1" showInputMessage="1" showErrorMessage="1" sqref="C4" xr:uid="{C8901FA9-D254-430B-9772-3993BD8E561C}">
      <formula1>$AB$4:$AB$12</formula1>
    </dataValidation>
    <dataValidation type="whole" operator="greaterThanOrEqual" allowBlank="1" showInputMessage="1" showErrorMessage="1" errorTitle="Wrong Input" error="Input must be a number" sqref="C5" xr:uid="{C3C0F8F4-D0E6-406F-BA53-009E53B95D2C}">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86C3-09DF-4C0B-8F98-62098FB6F75B}">
  <dimension ref="B1:Y25"/>
  <sheetViews>
    <sheetView topLeftCell="B1" workbookViewId="0">
      <selection activeCell="C4" sqref="C4"/>
    </sheetView>
  </sheetViews>
  <sheetFormatPr defaultColWidth="0" defaultRowHeight="14.4" zeroHeight="1" x14ac:dyDescent="0.3"/>
  <cols>
    <col min="1" max="1" width="9.109375" style="11" hidden="1" customWidth="1"/>
    <col min="2" max="2" width="41.6640625" style="11" bestFit="1" customWidth="1"/>
    <col min="3" max="3" width="31.5546875" style="11" bestFit="1" customWidth="1"/>
    <col min="4" max="4" width="24.33203125" style="11" bestFit="1" customWidth="1"/>
    <col min="5" max="5" width="9.109375" style="11" customWidth="1"/>
    <col min="6" max="6" width="39.44140625" style="11" bestFit="1" customWidth="1"/>
    <col min="7" max="7" width="19.88671875" style="11" customWidth="1"/>
    <col min="8" max="8" width="21.6640625" style="11" hidden="1"/>
    <col min="9" max="9" width="9.109375" style="11" hidden="1"/>
    <col min="10" max="10" width="10.44140625" style="11" hidden="1"/>
    <col min="11" max="17" width="9.109375" style="11" hidden="1"/>
    <col min="18" max="18" width="10.6640625" style="11" hidden="1"/>
    <col min="19" max="19" width="13.6640625" style="11" hidden="1"/>
    <col min="20" max="25" width="0" style="11" hidden="1"/>
    <col min="26" max="16384" width="9.109375" style="11" hidden="1"/>
  </cols>
  <sheetData>
    <row r="1" spans="2:25" ht="87" customHeight="1" x14ac:dyDescent="0.3">
      <c r="B1" s="54"/>
      <c r="C1" s="19"/>
      <c r="D1" s="64" t="s">
        <v>118</v>
      </c>
      <c r="E1" s="64"/>
      <c r="F1" s="64"/>
      <c r="G1" s="64"/>
      <c r="H1" s="52"/>
      <c r="I1" s="52"/>
    </row>
    <row r="2" spans="2:25" ht="29.25" customHeight="1" x14ac:dyDescent="0.3">
      <c r="B2" s="66" t="s">
        <v>109</v>
      </c>
      <c r="C2" s="66"/>
      <c r="D2" s="55"/>
      <c r="E2" s="15"/>
      <c r="F2" s="66" t="s">
        <v>110</v>
      </c>
      <c r="G2" s="66"/>
      <c r="H2" s="53"/>
    </row>
    <row r="3" spans="2:25" ht="29.25" customHeight="1" x14ac:dyDescent="0.3">
      <c r="B3" s="15"/>
      <c r="C3" s="15"/>
      <c r="D3" s="15"/>
      <c r="E3" s="15"/>
      <c r="F3" s="15"/>
      <c r="G3" s="15"/>
      <c r="Q3" s="42" t="s">
        <v>121</v>
      </c>
      <c r="R3" s="10"/>
      <c r="S3" s="10"/>
      <c r="T3" s="10"/>
      <c r="U3" s="10"/>
      <c r="V3" s="10"/>
      <c r="W3" s="10"/>
      <c r="X3" s="10"/>
      <c r="Y3" s="10"/>
    </row>
    <row r="4" spans="2:25" x14ac:dyDescent="0.3">
      <c r="B4" s="24" t="s">
        <v>126</v>
      </c>
      <c r="C4" s="56"/>
      <c r="D4" s="15"/>
      <c r="E4" s="15"/>
      <c r="F4" s="69" t="s">
        <v>129</v>
      </c>
      <c r="G4" s="69"/>
      <c r="Q4" s="37" t="s">
        <v>139</v>
      </c>
      <c r="R4" s="37"/>
      <c r="S4" s="37"/>
      <c r="T4" s="37"/>
      <c r="U4" s="37"/>
      <c r="V4" s="37"/>
      <c r="W4" s="37"/>
      <c r="X4" s="37"/>
      <c r="Y4" s="37"/>
    </row>
    <row r="5" spans="2:25" x14ac:dyDescent="0.3">
      <c r="B5" s="24" t="s">
        <v>131</v>
      </c>
      <c r="C5" s="56"/>
      <c r="D5" s="15"/>
      <c r="E5" s="15"/>
      <c r="F5" s="17" t="s">
        <v>133</v>
      </c>
      <c r="G5" s="16" t="str">
        <f>IFERROR(IF(ISBLANK(C4),"",R18),"")</f>
        <v/>
      </c>
      <c r="Q5" s="37" t="s">
        <v>33</v>
      </c>
      <c r="R5" s="37" t="s">
        <v>29</v>
      </c>
      <c r="S5" s="37" t="s">
        <v>37</v>
      </c>
      <c r="T5" s="37" t="s">
        <v>52</v>
      </c>
      <c r="U5" s="37" t="s">
        <v>30</v>
      </c>
      <c r="V5" s="37" t="s">
        <v>31</v>
      </c>
      <c r="W5" s="37" t="s">
        <v>32</v>
      </c>
      <c r="X5" s="37" t="s">
        <v>44</v>
      </c>
      <c r="Y5" s="37" t="s">
        <v>58</v>
      </c>
    </row>
    <row r="6" spans="2:25" x14ac:dyDescent="0.3">
      <c r="B6" s="24" t="s">
        <v>140</v>
      </c>
      <c r="C6" s="56"/>
      <c r="D6" s="15"/>
      <c r="E6" s="15"/>
      <c r="F6" s="61" t="s">
        <v>105</v>
      </c>
      <c r="G6" s="18">
        <f>IFERROR(C4*G5,0)</f>
        <v>0</v>
      </c>
      <c r="Q6" s="37" t="str">
        <f>_xlfn.XLOOKUP($Q$4,$AB$4:$AB$12,AC4:AC12,"",0,1)</f>
        <v/>
      </c>
      <c r="R6" s="57">
        <f>'Individual Mobilities'!AD13</f>
        <v>2</v>
      </c>
      <c r="S6" s="57">
        <f>'Individual Mobilities'!AE13</f>
        <v>2</v>
      </c>
      <c r="T6" s="57">
        <f>'Individual Mobilities'!AF13</f>
        <v>1</v>
      </c>
      <c r="U6" s="57">
        <f>'Individual Mobilities'!AG13</f>
        <v>30</v>
      </c>
      <c r="V6" s="57">
        <f>'Individual Mobilities'!AH13</f>
        <v>100</v>
      </c>
      <c r="W6" s="57">
        <f>'Individual Mobilities'!AI13</f>
        <v>100</v>
      </c>
      <c r="X6" s="57">
        <f>'Individual Mobilities'!AJ13</f>
        <v>500</v>
      </c>
      <c r="Y6" s="57">
        <f>'Individual Mobilities'!AK13</f>
        <v>0</v>
      </c>
    </row>
    <row r="7" spans="2:25" x14ac:dyDescent="0.3">
      <c r="B7" s="24" t="s">
        <v>127</v>
      </c>
      <c r="C7" s="56"/>
      <c r="D7" s="72" t="str">
        <f>IF(ISBLANK(C8),"",(IF(C8&gt;U6,"Duration is too long!",IF(C8&lt;R6,"Duration is too short!",""))))</f>
        <v/>
      </c>
      <c r="E7" s="72"/>
      <c r="F7" s="58"/>
      <c r="G7" s="58"/>
      <c r="Q7" s="37"/>
      <c r="R7" s="37" t="b">
        <f>$C$8&gt;=R6</f>
        <v>0</v>
      </c>
      <c r="S7" s="37" t="b">
        <f>$C$8&gt;=S6</f>
        <v>0</v>
      </c>
      <c r="T7" s="37" t="b">
        <f>$C$8&gt;=T6</f>
        <v>0</v>
      </c>
      <c r="U7" s="37" t="b">
        <f>$C$8&lt;=U6</f>
        <v>1</v>
      </c>
      <c r="V7" s="37"/>
      <c r="W7" s="37"/>
      <c r="X7" s="37"/>
      <c r="Y7" s="37"/>
    </row>
    <row r="8" spans="2:25" x14ac:dyDescent="0.3">
      <c r="B8" s="24" t="s">
        <v>114</v>
      </c>
      <c r="C8" s="56"/>
      <c r="D8" s="58"/>
      <c r="E8" s="58"/>
      <c r="F8" s="69" t="s">
        <v>130</v>
      </c>
      <c r="G8" s="69"/>
      <c r="Q8" s="37"/>
      <c r="R8" s="37"/>
      <c r="S8" s="37"/>
      <c r="T8" s="37"/>
      <c r="U8" s="37"/>
      <c r="V8" s="37"/>
      <c r="W8" s="37"/>
      <c r="X8" s="37"/>
      <c r="Y8" s="37"/>
    </row>
    <row r="9" spans="2:25" x14ac:dyDescent="0.3">
      <c r="B9" s="24" t="s">
        <v>47</v>
      </c>
      <c r="C9" s="56"/>
      <c r="D9" s="15"/>
      <c r="E9" s="15"/>
      <c r="F9" s="73" t="s">
        <v>134</v>
      </c>
      <c r="G9" s="74" t="str">
        <f>IFERROR(IF(ISBLANK(C7),"",S18),"")</f>
        <v/>
      </c>
      <c r="Q9" s="38"/>
      <c r="R9" s="37" t="s">
        <v>10</v>
      </c>
      <c r="S9" s="37" t="s">
        <v>11</v>
      </c>
      <c r="T9" s="37"/>
      <c r="U9" s="37"/>
      <c r="V9" s="37"/>
      <c r="W9" s="37"/>
      <c r="X9" s="37"/>
      <c r="Y9" s="37"/>
    </row>
    <row r="10" spans="2:25" x14ac:dyDescent="0.3">
      <c r="B10" s="24" t="s">
        <v>128</v>
      </c>
      <c r="C10" s="56"/>
      <c r="D10" s="15"/>
      <c r="E10" s="15"/>
      <c r="F10" s="73"/>
      <c r="G10" s="74"/>
      <c r="Q10" s="38">
        <f>C10</f>
        <v>0</v>
      </c>
      <c r="R10" s="37" t="str">
        <f>_xlfn.XLOOKUP($Q$10,'Individual Mobilities'!$AM$4:$AM$10,'Individual Mobilities'!AQ4:AQ10,"",0,1)</f>
        <v/>
      </c>
      <c r="S10" s="37" t="str">
        <f>_xlfn.XLOOKUP($Q$10,'Individual Mobilities'!$AM$4:$AM$10,'Individual Mobilities'!AR4:AR10,"",0,1)</f>
        <v/>
      </c>
      <c r="T10" s="37"/>
      <c r="U10" s="37"/>
      <c r="V10" s="37"/>
      <c r="W10" s="37"/>
      <c r="X10" s="37"/>
      <c r="Y10" s="37"/>
    </row>
    <row r="11" spans="2:25" x14ac:dyDescent="0.3">
      <c r="B11" s="24" t="s">
        <v>59</v>
      </c>
      <c r="C11" s="56"/>
      <c r="D11" s="15"/>
      <c r="E11" s="15"/>
      <c r="F11" s="61" t="s">
        <v>105</v>
      </c>
      <c r="G11" s="18">
        <f>IFERROR(C7*G9,0)</f>
        <v>0</v>
      </c>
      <c r="Q11" s="10"/>
      <c r="R11" s="10"/>
      <c r="S11" s="10"/>
      <c r="T11" s="10"/>
      <c r="U11" s="10"/>
      <c r="V11" s="10"/>
      <c r="W11" s="10"/>
      <c r="X11" s="10"/>
      <c r="Y11" s="10"/>
    </row>
    <row r="12" spans="2:25" x14ac:dyDescent="0.3">
      <c r="B12" s="15"/>
      <c r="C12" s="15"/>
      <c r="D12" s="15"/>
      <c r="E12" s="15"/>
      <c r="F12" s="58"/>
      <c r="G12" s="58"/>
      <c r="Q12" s="10"/>
      <c r="R12" s="10"/>
      <c r="S12" s="10"/>
      <c r="T12" s="10"/>
      <c r="U12" s="10"/>
      <c r="V12" s="10"/>
      <c r="W12" s="10"/>
      <c r="X12" s="10"/>
      <c r="Y12" s="10"/>
    </row>
    <row r="13" spans="2:25" x14ac:dyDescent="0.3">
      <c r="B13" s="66" t="s">
        <v>137</v>
      </c>
      <c r="C13" s="66"/>
      <c r="D13" s="15"/>
      <c r="E13" s="15"/>
      <c r="F13" s="69" t="s">
        <v>135</v>
      </c>
      <c r="G13" s="69"/>
      <c r="Q13" s="10"/>
      <c r="R13" s="10"/>
      <c r="S13" s="10"/>
      <c r="T13" s="10"/>
      <c r="U13" s="10"/>
      <c r="V13" s="10"/>
      <c r="W13" s="10"/>
      <c r="X13" s="10"/>
      <c r="Y13" s="10"/>
    </row>
    <row r="14" spans="2:25" x14ac:dyDescent="0.3">
      <c r="B14" s="66"/>
      <c r="C14" s="66"/>
      <c r="D14" s="15"/>
      <c r="E14" s="15"/>
      <c r="F14" s="17" t="s">
        <v>136</v>
      </c>
      <c r="G14" s="16" t="str">
        <f>IF(C9="Green travel",R10,S10)</f>
        <v/>
      </c>
      <c r="Q14" s="42" t="s">
        <v>120</v>
      </c>
      <c r="R14" s="10"/>
      <c r="S14" s="10"/>
      <c r="T14" s="10"/>
      <c r="U14" s="10"/>
      <c r="V14" s="10"/>
      <c r="W14" s="10"/>
      <c r="X14" s="10"/>
      <c r="Y14" s="10"/>
    </row>
    <row r="15" spans="2:25" x14ac:dyDescent="0.3">
      <c r="B15" s="75">
        <f>G6+G11+G15+G20</f>
        <v>0</v>
      </c>
      <c r="C15" s="75"/>
      <c r="D15" s="15"/>
      <c r="E15" s="15"/>
      <c r="F15" s="61" t="s">
        <v>105</v>
      </c>
      <c r="G15" s="18">
        <f>IFERROR((C4+C7)*G14,0)</f>
        <v>0</v>
      </c>
      <c r="Q15" s="37"/>
      <c r="R15" s="37" t="s">
        <v>16</v>
      </c>
      <c r="S15" s="37" t="s">
        <v>17</v>
      </c>
      <c r="T15" s="10"/>
      <c r="U15" s="10"/>
      <c r="V15" s="10"/>
      <c r="W15" s="10"/>
      <c r="X15" s="10"/>
      <c r="Y15" s="10"/>
    </row>
    <row r="16" spans="2:25" x14ac:dyDescent="0.3">
      <c r="B16" s="75"/>
      <c r="C16" s="75"/>
      <c r="D16" s="15"/>
      <c r="E16" s="15"/>
      <c r="F16" s="58"/>
      <c r="G16" s="58"/>
      <c r="J16" s="12"/>
      <c r="Q16" s="37">
        <f>C11</f>
        <v>0</v>
      </c>
      <c r="R16" s="37" t="str">
        <f>_xlfn.XLOOKUP($Q$16,'Individual Mobilities'!$AV$3:$AV$5,'Individual Mobilities'!AW3:AW5,"",0,1)</f>
        <v/>
      </c>
      <c r="S16" s="37" t="str">
        <f>_xlfn.XLOOKUP($Q$16,'Individual Mobilities'!$AV$3:$AV$5,'Individual Mobilities'!AX3:AX5,"",0,1)</f>
        <v/>
      </c>
      <c r="T16" s="10"/>
      <c r="U16" s="51"/>
      <c r="V16" s="10"/>
      <c r="W16" s="10"/>
      <c r="X16" s="10"/>
      <c r="Y16" s="10"/>
    </row>
    <row r="17" spans="2:25" x14ac:dyDescent="0.3">
      <c r="B17" s="58"/>
      <c r="C17" s="58"/>
      <c r="D17" s="15"/>
      <c r="E17" s="15"/>
      <c r="F17" s="70" t="s">
        <v>112</v>
      </c>
      <c r="G17" s="70"/>
      <c r="Q17" s="40">
        <v>0.7</v>
      </c>
      <c r="R17" s="37" t="e">
        <f>ROUND(R16*$Q$17,0)</f>
        <v>#VALUE!</v>
      </c>
      <c r="S17" s="37" t="e">
        <f>ROUND(S16*$Q$17,0)</f>
        <v>#VALUE!</v>
      </c>
      <c r="T17" s="10"/>
      <c r="U17" s="10"/>
      <c r="V17" s="10"/>
      <c r="W17" s="10"/>
      <c r="X17" s="10"/>
      <c r="Y17" s="10"/>
    </row>
    <row r="18" spans="2:25" x14ac:dyDescent="0.3">
      <c r="B18" s="15"/>
      <c r="C18" s="16"/>
      <c r="D18" s="43"/>
      <c r="E18" s="43"/>
      <c r="F18" s="20" t="s">
        <v>57</v>
      </c>
      <c r="G18" s="16" t="str">
        <f>IF(ISBLANK(C6),"",C6*V6)</f>
        <v/>
      </c>
      <c r="Q18" s="41">
        <f>C8</f>
        <v>0</v>
      </c>
      <c r="R18" s="37" t="e">
        <f>SUM(R19:R20)</f>
        <v>#VALUE!</v>
      </c>
      <c r="S18" s="37" t="e">
        <f>SUM(S19:S20)</f>
        <v>#VALUE!</v>
      </c>
      <c r="T18" s="10"/>
      <c r="U18" s="51"/>
      <c r="V18" s="10"/>
      <c r="W18" s="10"/>
      <c r="X18" s="10"/>
      <c r="Y18" s="10"/>
    </row>
    <row r="19" spans="2:25" x14ac:dyDescent="0.3">
      <c r="B19" s="58"/>
      <c r="C19" s="58"/>
      <c r="D19" s="58"/>
      <c r="E19" s="58"/>
      <c r="F19" s="20" t="s">
        <v>119</v>
      </c>
      <c r="G19" s="16" t="str">
        <f>IF(C5=0,"",C5*'Individual Mobilities'!BD3)</f>
        <v/>
      </c>
      <c r="Q19" s="41">
        <f>MIN('Individual Mobilities'!AW7,Q18)</f>
        <v>0</v>
      </c>
      <c r="R19" s="37" t="e">
        <f>Q19*R16</f>
        <v>#VALUE!</v>
      </c>
      <c r="S19" s="37" t="e">
        <f>Q19*S16</f>
        <v>#VALUE!</v>
      </c>
      <c r="T19" s="10"/>
      <c r="U19" s="10"/>
      <c r="V19" s="10"/>
      <c r="W19" s="10"/>
      <c r="X19" s="10"/>
      <c r="Y19" s="10"/>
    </row>
    <row r="20" spans="2:25" x14ac:dyDescent="0.3">
      <c r="B20" s="58"/>
      <c r="C20" s="58"/>
      <c r="D20" s="15"/>
      <c r="E20" s="15"/>
      <c r="F20" s="60" t="s">
        <v>105</v>
      </c>
      <c r="G20" s="21">
        <f>SUM(G18:G19)</f>
        <v>0</v>
      </c>
      <c r="Q20" s="41">
        <f>MAX(Q18-'Individual Mobilities'!AW7,0)</f>
        <v>0</v>
      </c>
      <c r="R20" s="37" t="e">
        <f>(Q20*R17)</f>
        <v>#VALUE!</v>
      </c>
      <c r="S20" s="37" t="e">
        <f>(Q20*S17)</f>
        <v>#VALUE!</v>
      </c>
      <c r="T20" s="10"/>
      <c r="U20" s="10"/>
      <c r="V20" s="10"/>
      <c r="W20" s="10"/>
      <c r="X20" s="10"/>
      <c r="Y20" s="10"/>
    </row>
    <row r="21" spans="2:25" x14ac:dyDescent="0.3">
      <c r="B21" s="67" t="s">
        <v>146</v>
      </c>
      <c r="C21" s="67"/>
      <c r="D21" s="67"/>
      <c r="E21" s="67"/>
      <c r="F21" s="67"/>
      <c r="G21" s="67"/>
      <c r="H21" s="59"/>
    </row>
    <row r="25" spans="2:25" hidden="1" x14ac:dyDescent="0.3">
      <c r="F25" s="12"/>
    </row>
  </sheetData>
  <sheetProtection algorithmName="SHA-512" hashValue="E6/MHIe37LlEtNdvHImeSFicGBQotrjXMMYWpBMMVrqq+w2DykolsjdNrkDDDWWCRQkGBFFGWAWj6B78nmaGVQ==" saltValue="VYiBxFaz0bK5EUIC8F9BBA==" spinCount="100000" sheet="1" objects="1" scenarios="1"/>
  <mergeCells count="13">
    <mergeCell ref="B2:C2"/>
    <mergeCell ref="F2:G2"/>
    <mergeCell ref="D1:G1"/>
    <mergeCell ref="F4:G4"/>
    <mergeCell ref="B13:C14"/>
    <mergeCell ref="B21:G21"/>
    <mergeCell ref="F8:G8"/>
    <mergeCell ref="F17:G17"/>
    <mergeCell ref="D7:E7"/>
    <mergeCell ref="F9:F10"/>
    <mergeCell ref="G9:G10"/>
    <mergeCell ref="F13:G13"/>
    <mergeCell ref="B15:C16"/>
  </mergeCells>
  <conditionalFormatting sqref="D7">
    <cfRule type="containsText" dxfId="0" priority="1" operator="containsText" text="Duration is too">
      <formula>NOT(ISERROR(SEARCH("Duration is too",D7)))</formula>
    </cfRule>
  </conditionalFormatting>
  <dataValidations count="4">
    <dataValidation type="whole" operator="greaterThanOrEqual" allowBlank="1" showInputMessage="1" showErrorMessage="1" errorTitle="Wrong Input" error="Input must be a number" sqref="C7:C8" xr:uid="{701E78B1-812B-40EE-A579-9502D61B4CCE}">
      <formula1>0</formula1>
    </dataValidation>
    <dataValidation type="whole" showInputMessage="1" showErrorMessage="1" errorTitle="Wrong Input" error="Must be a number_x000a_Can not be higher than total number of participants" sqref="C5" xr:uid="{B7DCECA2-9C87-49BF-88C1-BDB1B7748546}">
      <formula1>0</formula1>
      <formula2>C4</formula2>
    </dataValidation>
    <dataValidation type="whole" showInputMessage="1" showErrorMessage="1" errorTitle="Wrong Input" error="Must be a number_x000a_Can not be higher than total number of participants" sqref="C6" xr:uid="{F57D9681-7BD1-475D-88A8-6CED101CB0D4}">
      <formula1>0</formula1>
      <formula2>C4</formula2>
    </dataValidation>
    <dataValidation type="whole" operator="greaterThanOrEqual" allowBlank="1" showInputMessage="1" showErrorMessage="1" errorTitle="Wrong Input" error="Input must be a number higher than 2" sqref="C4" xr:uid="{9B0EFF24-45FD-4758-992E-404498C6F361}">
      <formula1>2</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5FC8F54-DD8F-47EA-99A6-B7B39C2441A3}">
          <x14:formula1>
            <xm:f>'Individual Mobilities'!$AL$4:$AL$5</xm:f>
          </x14:formula1>
          <xm:sqref>C9</xm:sqref>
        </x14:dataValidation>
        <x14:dataValidation type="list" allowBlank="1" showInputMessage="1" showErrorMessage="1" xr:uid="{42677E19-63B7-4ADC-B4AF-783ED19B75B7}">
          <x14:formula1>
            <xm:f>'Individual Mobilities'!$AM$4:$AM$10</xm:f>
          </x14:formula1>
          <xm:sqref>C10</xm:sqref>
        </x14:dataValidation>
        <x14:dataValidation type="list" allowBlank="1" showInputMessage="1" showErrorMessage="1" xr:uid="{A7311A76-5998-4138-AB1B-9403FF8A77EC}">
          <x14:formula1>
            <xm:f>'Individual Mobilities'!$AV$3:$AV$5</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4F26B-18D3-4373-91C9-543E5D8DAA19}">
  <sheetPr codeName="Blad2">
    <tabColor rgb="FFFFC000"/>
  </sheetPr>
  <dimension ref="A1:G35"/>
  <sheetViews>
    <sheetView workbookViewId="0">
      <selection activeCell="A36" sqref="A36:XFD1048576"/>
    </sheetView>
  </sheetViews>
  <sheetFormatPr defaultColWidth="0" defaultRowHeight="13.8" zeroHeight="1" x14ac:dyDescent="0.3"/>
  <cols>
    <col min="1" max="5" width="13.6640625" style="44" customWidth="1"/>
    <col min="6" max="6" width="13.6640625" style="44" hidden="1"/>
    <col min="7" max="7" width="0" style="44" hidden="1"/>
    <col min="8" max="16384" width="8.88671875" style="44" hidden="1"/>
  </cols>
  <sheetData>
    <row r="1" spans="1:7" ht="14.4" customHeight="1" x14ac:dyDescent="0.3">
      <c r="A1" s="95" t="s">
        <v>68</v>
      </c>
      <c r="B1" s="95"/>
      <c r="C1" s="95"/>
      <c r="D1" s="95"/>
      <c r="E1" s="95"/>
      <c r="F1" s="45"/>
    </row>
    <row r="2" spans="1:7" x14ac:dyDescent="0.3">
      <c r="A2" s="98" t="s">
        <v>69</v>
      </c>
      <c r="B2" s="98"/>
      <c r="C2" s="98"/>
      <c r="D2" s="98"/>
      <c r="E2" s="98"/>
      <c r="F2" s="46"/>
    </row>
    <row r="3" spans="1:7" x14ac:dyDescent="0.3">
      <c r="A3" s="3" t="s">
        <v>70</v>
      </c>
      <c r="B3" s="96" t="s">
        <v>71</v>
      </c>
      <c r="C3" s="97"/>
      <c r="D3" s="96" t="s">
        <v>72</v>
      </c>
      <c r="E3" s="97"/>
      <c r="F3" s="47"/>
    </row>
    <row r="4" spans="1:7" x14ac:dyDescent="0.3">
      <c r="A4" s="4" t="s">
        <v>73</v>
      </c>
      <c r="B4" s="88">
        <v>56</v>
      </c>
      <c r="C4" s="89"/>
      <c r="D4" s="88">
        <v>28</v>
      </c>
      <c r="E4" s="89"/>
      <c r="F4" s="48"/>
      <c r="G4" s="50" t="s">
        <v>125</v>
      </c>
    </row>
    <row r="5" spans="1:7" x14ac:dyDescent="0.3">
      <c r="A5" s="4" t="s">
        <v>74</v>
      </c>
      <c r="B5" s="88">
        <v>285</v>
      </c>
      <c r="C5" s="89"/>
      <c r="D5" s="88">
        <v>211</v>
      </c>
      <c r="E5" s="89"/>
      <c r="F5" s="48"/>
    </row>
    <row r="6" spans="1:7" x14ac:dyDescent="0.3">
      <c r="A6" s="4" t="s">
        <v>75</v>
      </c>
      <c r="B6" s="88">
        <v>417</v>
      </c>
      <c r="C6" s="89"/>
      <c r="D6" s="88">
        <v>309</v>
      </c>
      <c r="E6" s="89"/>
      <c r="F6" s="48"/>
    </row>
    <row r="7" spans="1:7" x14ac:dyDescent="0.3">
      <c r="A7" s="4" t="s">
        <v>76</v>
      </c>
      <c r="B7" s="88">
        <v>535</v>
      </c>
      <c r="C7" s="89"/>
      <c r="D7" s="88">
        <v>395</v>
      </c>
      <c r="E7" s="89"/>
      <c r="F7" s="48"/>
    </row>
    <row r="8" spans="1:7" x14ac:dyDescent="0.3">
      <c r="A8" s="4" t="s">
        <v>77</v>
      </c>
      <c r="B8" s="88">
        <v>785</v>
      </c>
      <c r="C8" s="89"/>
      <c r="D8" s="88">
        <v>580</v>
      </c>
      <c r="E8" s="89"/>
      <c r="F8" s="48"/>
    </row>
    <row r="9" spans="1:7" x14ac:dyDescent="0.3">
      <c r="A9" s="4" t="s">
        <v>78</v>
      </c>
      <c r="B9" s="88">
        <v>1188</v>
      </c>
      <c r="C9" s="89"/>
      <c r="D9" s="88">
        <v>1188</v>
      </c>
      <c r="E9" s="89"/>
      <c r="F9" s="48"/>
    </row>
    <row r="10" spans="1:7" ht="27.6" x14ac:dyDescent="0.3">
      <c r="A10" s="4" t="s">
        <v>79</v>
      </c>
      <c r="B10" s="88">
        <v>1735</v>
      </c>
      <c r="C10" s="89"/>
      <c r="D10" s="88">
        <v>1735</v>
      </c>
      <c r="E10" s="89"/>
      <c r="F10" s="48"/>
    </row>
    <row r="11" spans="1:7" ht="14.4" customHeight="1" x14ac:dyDescent="0.3">
      <c r="A11" s="94" t="s">
        <v>80</v>
      </c>
      <c r="B11" s="94"/>
      <c r="C11" s="94"/>
      <c r="D11" s="94"/>
      <c r="E11" s="94"/>
      <c r="F11" s="46"/>
    </row>
    <row r="12" spans="1:7" ht="41.4" x14ac:dyDescent="0.3">
      <c r="A12" s="90" t="s">
        <v>81</v>
      </c>
      <c r="B12" s="91"/>
      <c r="C12" s="92" t="s">
        <v>82</v>
      </c>
      <c r="D12" s="93"/>
      <c r="E12" s="6" t="s">
        <v>83</v>
      </c>
      <c r="F12" s="47"/>
    </row>
    <row r="13" spans="1:7" ht="84.6" customHeight="1" x14ac:dyDescent="0.3">
      <c r="A13" s="86" t="s">
        <v>141</v>
      </c>
      <c r="B13" s="87"/>
      <c r="C13" s="88">
        <v>48</v>
      </c>
      <c r="D13" s="89"/>
      <c r="E13" s="8">
        <v>191</v>
      </c>
      <c r="F13" s="47"/>
    </row>
    <row r="14" spans="1:7" ht="56.4" customHeight="1" x14ac:dyDescent="0.3">
      <c r="A14" s="86" t="s">
        <v>94</v>
      </c>
      <c r="B14" s="87"/>
      <c r="C14" s="88">
        <v>42</v>
      </c>
      <c r="D14" s="89"/>
      <c r="E14" s="8">
        <v>169</v>
      </c>
      <c r="F14" s="47"/>
    </row>
    <row r="15" spans="1:7" ht="59.4" customHeight="1" x14ac:dyDescent="0.3">
      <c r="A15" s="86" t="s">
        <v>142</v>
      </c>
      <c r="B15" s="87"/>
      <c r="C15" s="88">
        <v>36</v>
      </c>
      <c r="D15" s="89"/>
      <c r="E15" s="8">
        <v>148</v>
      </c>
      <c r="F15" s="47"/>
    </row>
    <row r="16" spans="1:7" ht="46.2" customHeight="1" x14ac:dyDescent="0.3">
      <c r="A16" s="79" t="s">
        <v>95</v>
      </c>
      <c r="B16" s="79"/>
      <c r="C16" s="79"/>
      <c r="D16" s="79"/>
      <c r="E16" s="79"/>
      <c r="F16" s="49"/>
    </row>
    <row r="17" spans="1:6" ht="42" customHeight="1" x14ac:dyDescent="0.3">
      <c r="A17" s="80" t="s">
        <v>89</v>
      </c>
      <c r="B17" s="80"/>
      <c r="C17" s="80"/>
      <c r="D17" s="80"/>
      <c r="E17" s="80"/>
      <c r="F17" s="49"/>
    </row>
    <row r="18" spans="1:6" ht="87.6" customHeight="1" x14ac:dyDescent="0.3">
      <c r="A18" s="81" t="s">
        <v>143</v>
      </c>
      <c r="B18" s="81"/>
      <c r="C18" s="81"/>
      <c r="D18" s="81"/>
      <c r="E18" s="81"/>
    </row>
    <row r="19" spans="1:6" ht="128.4" customHeight="1" x14ac:dyDescent="0.3">
      <c r="A19" s="81" t="s">
        <v>145</v>
      </c>
      <c r="B19" s="81"/>
      <c r="C19" s="81"/>
      <c r="D19" s="81"/>
      <c r="E19" s="81"/>
    </row>
    <row r="20" spans="1:6" ht="125.4" customHeight="1" x14ac:dyDescent="0.3">
      <c r="A20" s="81" t="s">
        <v>144</v>
      </c>
      <c r="B20" s="81"/>
      <c r="C20" s="81"/>
      <c r="D20" s="81"/>
      <c r="E20" s="81"/>
    </row>
    <row r="21" spans="1:6" ht="14.4" customHeight="1" x14ac:dyDescent="0.3">
      <c r="A21" s="82" t="s">
        <v>84</v>
      </c>
      <c r="B21" s="82"/>
      <c r="C21" s="82"/>
      <c r="D21" s="82"/>
      <c r="E21" s="82"/>
    </row>
    <row r="22" spans="1:6" ht="27.6" x14ac:dyDescent="0.3">
      <c r="A22" s="83" t="s">
        <v>85</v>
      </c>
      <c r="B22" s="83"/>
      <c r="C22" s="83"/>
      <c r="D22" s="83"/>
      <c r="E22" s="7" t="s">
        <v>86</v>
      </c>
    </row>
    <row r="23" spans="1:6" ht="81.599999999999994" customHeight="1" x14ac:dyDescent="0.3">
      <c r="A23" s="84" t="s">
        <v>91</v>
      </c>
      <c r="B23" s="84"/>
      <c r="C23" s="84"/>
      <c r="D23" s="84"/>
      <c r="E23" s="5">
        <v>100</v>
      </c>
    </row>
    <row r="24" spans="1:6" ht="85.2" customHeight="1" x14ac:dyDescent="0.3">
      <c r="A24" s="84" t="s">
        <v>92</v>
      </c>
      <c r="B24" s="84"/>
      <c r="C24" s="84"/>
      <c r="D24" s="84"/>
      <c r="E24" s="9" t="s">
        <v>87</v>
      </c>
    </row>
    <row r="25" spans="1:6" ht="48.6" customHeight="1" x14ac:dyDescent="0.3">
      <c r="A25" s="84" t="s">
        <v>93</v>
      </c>
      <c r="B25" s="84"/>
      <c r="C25" s="84"/>
      <c r="D25" s="84"/>
      <c r="E25" s="5">
        <v>500</v>
      </c>
    </row>
    <row r="26" spans="1:6" ht="31.2" customHeight="1" x14ac:dyDescent="0.3">
      <c r="A26" s="85" t="s">
        <v>88</v>
      </c>
      <c r="B26" s="85"/>
      <c r="C26" s="85"/>
      <c r="D26" s="85"/>
      <c r="E26" s="85"/>
    </row>
    <row r="27" spans="1:6" x14ac:dyDescent="0.3">
      <c r="A27" s="77" t="s">
        <v>90</v>
      </c>
      <c r="B27" s="77"/>
      <c r="C27" s="77"/>
      <c r="D27" s="77"/>
      <c r="E27" s="77"/>
    </row>
    <row r="28" spans="1:6" ht="30" customHeight="1" x14ac:dyDescent="0.3">
      <c r="A28" s="76" t="s">
        <v>99</v>
      </c>
      <c r="B28" s="76"/>
      <c r="C28" s="76"/>
      <c r="D28" s="76"/>
      <c r="E28" s="76"/>
    </row>
    <row r="29" spans="1:6" x14ac:dyDescent="0.3">
      <c r="A29" s="77" t="s">
        <v>96</v>
      </c>
      <c r="B29" s="77"/>
      <c r="C29" s="77"/>
      <c r="D29" s="77"/>
      <c r="E29" s="77"/>
    </row>
    <row r="30" spans="1:6" ht="28.2" customHeight="1" x14ac:dyDescent="0.3">
      <c r="A30" s="76" t="s">
        <v>100</v>
      </c>
      <c r="B30" s="76"/>
      <c r="C30" s="76"/>
      <c r="D30" s="76"/>
      <c r="E30" s="76"/>
    </row>
    <row r="31" spans="1:6" x14ac:dyDescent="0.3">
      <c r="A31" s="77" t="s">
        <v>97</v>
      </c>
      <c r="B31" s="77"/>
      <c r="C31" s="77"/>
      <c r="D31" s="77"/>
      <c r="E31" s="77"/>
    </row>
    <row r="32" spans="1:6" x14ac:dyDescent="0.3">
      <c r="A32" s="78" t="s">
        <v>101</v>
      </c>
      <c r="B32" s="78"/>
      <c r="C32" s="78"/>
      <c r="D32" s="78"/>
      <c r="E32" s="78"/>
    </row>
    <row r="33" spans="1:5" x14ac:dyDescent="0.3">
      <c r="A33" s="77" t="s">
        <v>98</v>
      </c>
      <c r="B33" s="77"/>
      <c r="C33" s="77"/>
      <c r="D33" s="77"/>
      <c r="E33" s="77"/>
    </row>
    <row r="34" spans="1:5" ht="72" customHeight="1" x14ac:dyDescent="0.3">
      <c r="A34" s="76" t="s">
        <v>102</v>
      </c>
      <c r="B34" s="76"/>
      <c r="C34" s="76"/>
      <c r="D34" s="76"/>
      <c r="E34" s="76"/>
    </row>
    <row r="35" spans="1:5" ht="27" customHeight="1" x14ac:dyDescent="0.3">
      <c r="A35" s="76" t="s">
        <v>103</v>
      </c>
      <c r="B35" s="76"/>
      <c r="C35" s="76"/>
      <c r="D35" s="76"/>
      <c r="E35" s="76"/>
    </row>
  </sheetData>
  <sheetProtection algorithmName="SHA-512" hashValue="BxVyjZV0bHu6bfyIKBLuvupQvzZ9QCHbU9YAH5n7TNaPQwTTLqGlLu1kVEAROJD+zQWjtL4+Esge7i/GgdkAog==" saltValue="LckEONVegv01YNgK2ZuXZQ==" spinCount="100000" sheet="1" objects="1" scenarios="1"/>
  <mergeCells count="47">
    <mergeCell ref="A1:E1"/>
    <mergeCell ref="B3:C3"/>
    <mergeCell ref="D3:E3"/>
    <mergeCell ref="B4:C4"/>
    <mergeCell ref="D4:E4"/>
    <mergeCell ref="A2:E2"/>
    <mergeCell ref="B5:C5"/>
    <mergeCell ref="D5:E5"/>
    <mergeCell ref="B6:C6"/>
    <mergeCell ref="D6:E6"/>
    <mergeCell ref="B7:C7"/>
    <mergeCell ref="D7:E7"/>
    <mergeCell ref="A11:E11"/>
    <mergeCell ref="B8:C8"/>
    <mergeCell ref="D8:E8"/>
    <mergeCell ref="B9:C9"/>
    <mergeCell ref="D9:E9"/>
    <mergeCell ref="B10:C10"/>
    <mergeCell ref="D10:E10"/>
    <mergeCell ref="A15:B15"/>
    <mergeCell ref="C15:D15"/>
    <mergeCell ref="A12:B12"/>
    <mergeCell ref="C12:D12"/>
    <mergeCell ref="A13:B13"/>
    <mergeCell ref="C13:D13"/>
    <mergeCell ref="A14:B14"/>
    <mergeCell ref="C14:D14"/>
    <mergeCell ref="A28:E28"/>
    <mergeCell ref="A16:E16"/>
    <mergeCell ref="A17:E17"/>
    <mergeCell ref="A18:E18"/>
    <mergeCell ref="A19:E19"/>
    <mergeCell ref="A20:E20"/>
    <mergeCell ref="A21:E21"/>
    <mergeCell ref="A22:D22"/>
    <mergeCell ref="A23:D23"/>
    <mergeCell ref="A24:D24"/>
    <mergeCell ref="A25:D25"/>
    <mergeCell ref="A26:E26"/>
    <mergeCell ref="A27:E27"/>
    <mergeCell ref="A35:E35"/>
    <mergeCell ref="A29:E29"/>
    <mergeCell ref="A31:E31"/>
    <mergeCell ref="A33:E33"/>
    <mergeCell ref="A30:E30"/>
    <mergeCell ref="A32:E32"/>
    <mergeCell ref="A34:E3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saction_x0020_ID xmlns="895d7e88-4816-48b9-8a05-f67c39ae9563" xsi:nil="true"/>
    <lcf76f155ced4ddcb4097134ff3c332f xmlns="895d7e88-4816-48b9-8a05-f67c39ae9563">
      <Terms xmlns="http://schemas.microsoft.com/office/infopath/2007/PartnerControls"/>
    </lcf76f155ced4ddcb4097134ff3c332f>
    <TaxCatchAll xmlns="1a3fb26e-a4d4-432a-afe1-76cc41bf7f88" xsi:nil="true"/>
    <Link xmlns="895d7e88-4816-48b9-8a05-f67c39ae9563">
      <Url xsi:nil="true"/>
      <Description xsi:nil="true"/>
    </Link>
    <Link1 xmlns="895d7e88-4816-48b9-8a05-f67c39ae9563">
      <Url xsi:nil="true"/>
      <Description xsi:nil="true"/>
    </Link1>
    <Aantalprojecten xmlns="895d7e88-4816-48b9-8a05-f67c39ae9563" xsi:nil="true"/>
    <ValidSignStatus xmlns="895d7e88-4816-48b9-8a05-f67c39ae9563" xsi:nil="true"/>
    <ValidSign_x0020_Status xmlns="895d7e88-4816-48b9-8a05-f67c39ae9563" xsi:nil="true"/>
    <_Flow_SignoffStatus xmlns="895d7e88-4816-48b9-8a05-f67c39ae956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4A43FC1774234792E2877EE0F9E255" ma:contentTypeVersion="34" ma:contentTypeDescription="Create a new document." ma:contentTypeScope="" ma:versionID="2c9d22cbb63ddbeed7e9d06765f8899b">
  <xsd:schema xmlns:xsd="http://www.w3.org/2001/XMLSchema" xmlns:xs="http://www.w3.org/2001/XMLSchema" xmlns:p="http://schemas.microsoft.com/office/2006/metadata/properties" xmlns:ns2="895d7e88-4816-48b9-8a05-f67c39ae9563" xmlns:ns3="1a3fb26e-a4d4-432a-afe1-76cc41bf7f88" targetNamespace="http://schemas.microsoft.com/office/2006/metadata/properties" ma:root="true" ma:fieldsID="4b7a401a9800c2deec154d6db441028f" ns2:_="" ns3:_="">
    <xsd:import namespace="895d7e88-4816-48b9-8a05-f67c39ae9563"/>
    <xsd:import namespace="1a3fb26e-a4d4-432a-afe1-76cc41bf7f88"/>
    <xsd:element name="properties">
      <xsd:complexType>
        <xsd:sequence>
          <xsd:element name="documentManagement">
            <xsd:complexType>
              <xsd:all>
                <xsd:element ref="ns2:ValidSignStatus" minOccurs="0"/>
                <xsd:element ref="ns2:Transaction_x0020_ID" minOccurs="0"/>
                <xsd:element ref="ns2:ValidSign_x0020_Status" minOccurs="0"/>
                <xsd:element ref="ns2:_Flow_SignoffStatus" minOccurs="0"/>
                <xsd:element ref="ns2:Aantalprojecten" minOccurs="0"/>
                <xsd:element ref="ns2:Link1"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Link" minOccurs="0"/>
                <xsd:element ref="ns2: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5d7e88-4816-48b9-8a05-f67c39ae9563" elementFormDefault="qualified">
    <xsd:import namespace="http://schemas.microsoft.com/office/2006/documentManagement/types"/>
    <xsd:import namespace="http://schemas.microsoft.com/office/infopath/2007/PartnerControls"/>
    <xsd:element name="ValidSignStatus" ma:index="2" nillable="true" ma:displayName="ValidSignStatus" ma:internalName="ValidSignStatus" ma:readOnly="false">
      <xsd:simpleType>
        <xsd:restriction base="dms:Text"/>
      </xsd:simpleType>
    </xsd:element>
    <xsd:element name="Transaction_x0020_ID" ma:index="3" nillable="true" ma:displayName="Transaction ID" ma:indexed="true" ma:internalName="Transaction_x0020_ID" ma:readOnly="false">
      <xsd:simpleType>
        <xsd:restriction base="dms:Text">
          <xsd:maxLength value="255"/>
        </xsd:restriction>
      </xsd:simpleType>
    </xsd:element>
    <xsd:element name="ValidSign_x0020_Status" ma:index="4" nillable="true" ma:displayName="ValidSign Status" ma:indexed="true" ma:internalName="ValidSign_x0020_Status" ma:readOnly="false">
      <xsd:simpleType>
        <xsd:restriction base="dms:Text">
          <xsd:maxLength value="255"/>
        </xsd:restriction>
      </xsd:simpleType>
    </xsd:element>
    <xsd:element name="_Flow_SignoffStatus" ma:index="6" nillable="true" ma:displayName="Sign-off status" ma:internalName="Sign_x002d_off_x0020_status" ma:readOnly="false">
      <xsd:simpleType>
        <xsd:restriction base="dms:Text"/>
      </xsd:simpleType>
    </xsd:element>
    <xsd:element name="Aantalprojecten" ma:index="7" nillable="true" ma:displayName="Aantal projecten" ma:format="Dropdown" ma:internalName="Aantalprojecten" ma:readOnly="false">
      <xsd:simpleType>
        <xsd:restriction base="dms:Text">
          <xsd:maxLength value="255"/>
        </xsd:restriction>
      </xsd:simpleType>
    </xsd:element>
    <xsd:element name="Link1" ma:index="8" nillable="true" ma:displayName="Link1" ma:format="Hyperlink" ma:internalName="Link1">
      <xsd:complexType>
        <xsd:complexContent>
          <xsd:extension base="dms:URL">
            <xsd:sequence>
              <xsd:element name="Url" type="dms:ValidUrl" minOccurs="0" nillable="true"/>
              <xsd:element name="Description" type="xsd:string" nillable="true"/>
            </xsd:sequence>
          </xsd:extension>
        </xsd:complexContent>
      </xsd:complex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hidden="true"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ae14868-6f31-44f0-b410-52f19e37ad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Link" ma:index="31" nillable="true" ma:displayName="Link" ma:format="Hyperlink" ma:hidden="true" ma:internalName="Lin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32"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3fb26e-a4d4-432a-afe1-76cc41bf7f88" elementFormDefault="qualified">
    <xsd:import namespace="http://schemas.microsoft.com/office/2006/documentManagement/types"/>
    <xsd:import namespace="http://schemas.microsoft.com/office/infopath/2007/PartnerControls"/>
    <xsd:element name="SharedWithUsers" ma:index="19"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hidden="true" ma:internalName="SharedWithDetails" ma:readOnly="true">
      <xsd:simpleType>
        <xsd:restriction base="dms:Note"/>
      </xsd:simpleType>
    </xsd:element>
    <xsd:element name="TaxCatchAll" ma:index="26" nillable="true" ma:displayName="Taxonomy Catch All Column" ma:hidden="true" ma:list="{4d2d08dc-39ce-4a7c-9eb7-72e37852b0ff}" ma:internalName="TaxCatchAll" ma:readOnly="false" ma:showField="CatchAllData" ma:web="1a3fb26e-a4d4-432a-afe1-76cc41bf7f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40C9AD-B3B2-4023-9187-B0233C9C4688}">
  <ds:schemaRefs>
    <ds:schemaRef ds:uri="1a3fb26e-a4d4-432a-afe1-76cc41bf7f88"/>
    <ds:schemaRef ds:uri="http://schemas.microsoft.com/office/2006/documentManagement/types"/>
    <ds:schemaRef ds:uri="http://purl.org/dc/elements/1.1/"/>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895d7e88-4816-48b9-8a05-f67c39ae9563"/>
    <ds:schemaRef ds:uri="http://schemas.microsoft.com/office/2006/metadata/properties"/>
  </ds:schemaRefs>
</ds:datastoreItem>
</file>

<file path=customXml/itemProps2.xml><?xml version="1.0" encoding="utf-8"?>
<ds:datastoreItem xmlns:ds="http://schemas.openxmlformats.org/officeDocument/2006/customXml" ds:itemID="{0CAA8BDF-133F-4522-A874-29706CDFB577}">
  <ds:schemaRefs>
    <ds:schemaRef ds:uri="http://schemas.microsoft.com/sharepoint/v3/contenttype/forms"/>
  </ds:schemaRefs>
</ds:datastoreItem>
</file>

<file path=customXml/itemProps3.xml><?xml version="1.0" encoding="utf-8"?>
<ds:datastoreItem xmlns:ds="http://schemas.openxmlformats.org/officeDocument/2006/customXml" ds:itemID="{45EB31FC-3C6B-4D0E-A22A-E8C75C014C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5d7e88-4816-48b9-8a05-f67c39ae9563"/>
    <ds:schemaRef ds:uri="1a3fb26e-a4d4-432a-afe1-76cc41bf7f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Individual Mobilities</vt:lpstr>
      <vt:lpstr>Group Mobilities</vt:lpstr>
      <vt:lpstr>Applicable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Goossens</dc:creator>
  <cp:lastModifiedBy>David Goossens</cp:lastModifiedBy>
  <dcterms:created xsi:type="dcterms:W3CDTF">2015-06-05T18:17:20Z</dcterms:created>
  <dcterms:modified xsi:type="dcterms:W3CDTF">2024-12-09T06:49:30Z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0x010100224A43FC1774234792E2877EE0F9E255</vt:lpwstr>
  </property>
  <property fmtid="{D5CDD505-2E9C-101B-9397-08002B2CF9AE}" pid="3" name="MediaServiceImageTags">
    <vt:lpwstr/>
  </property>
</Properties>
</file>